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ONUK\Desktop\PAY_PROD_MEVZUAT\"/>
    </mc:Choice>
  </mc:AlternateContent>
  <bookViews>
    <workbookView xWindow="0" yWindow="0" windowWidth="28800" windowHeight="12135"/>
  </bookViews>
  <sheets>
    <sheet name="PAY - İşlemTeminatı Değerleme " sheetId="5" r:id="rId1"/>
    <sheet name="PAY - Garanti Fonu Teminat D." sheetId="6" r:id="rId2"/>
  </sheets>
  <definedNames>
    <definedName name="_xlnm.Print_Area" localSheetId="1">'PAY - Garanti Fonu Teminat D.'!$A$1:$L$35</definedName>
    <definedName name="_xlnm.Print_Area" localSheetId="0">'PAY - İşlemTeminatı Değerleme '!$A$1:$L$35</definedName>
  </definedNames>
  <calcPr calcId="152511"/>
</workbook>
</file>

<file path=xl/calcChain.xml><?xml version="1.0" encoding="utf-8"?>
<calcChain xmlns="http://schemas.openxmlformats.org/spreadsheetml/2006/main">
  <c r="K27" i="5" l="1"/>
  <c r="D34" i="6" l="1"/>
  <c r="H34" i="6" s="1"/>
  <c r="D33" i="6"/>
  <c r="B26" i="6"/>
  <c r="D25" i="6"/>
  <c r="D26" i="6" s="1"/>
  <c r="B24" i="6"/>
  <c r="D23" i="6"/>
  <c r="B22" i="6"/>
  <c r="D21" i="6"/>
  <c r="D22" i="6" s="1"/>
  <c r="D20" i="6"/>
  <c r="B19" i="6"/>
  <c r="D18" i="6"/>
  <c r="D17" i="6"/>
  <c r="D19" i="6" s="1"/>
  <c r="B16" i="6"/>
  <c r="D15" i="6"/>
  <c r="B14" i="6"/>
  <c r="D13" i="6"/>
  <c r="B12" i="6"/>
  <c r="D11" i="6"/>
  <c r="D12" i="6" s="1"/>
  <c r="B10" i="6"/>
  <c r="D9" i="6"/>
  <c r="D8" i="6"/>
  <c r="D7" i="6"/>
  <c r="B6" i="6"/>
  <c r="D5" i="6"/>
  <c r="D4" i="6"/>
  <c r="D3" i="6"/>
  <c r="D18" i="5"/>
  <c r="D17" i="5"/>
  <c r="B19" i="5"/>
  <c r="D19" i="5"/>
  <c r="D34" i="5"/>
  <c r="H34" i="5" s="1"/>
  <c r="D33" i="5"/>
  <c r="B26" i="5"/>
  <c r="D25" i="5"/>
  <c r="D26" i="5" s="1"/>
  <c r="D24" i="5"/>
  <c r="B24" i="5"/>
  <c r="D23" i="5"/>
  <c r="D22" i="5"/>
  <c r="B22" i="5"/>
  <c r="D21" i="5"/>
  <c r="D20" i="5"/>
  <c r="B16" i="5"/>
  <c r="D15" i="5"/>
  <c r="B14" i="5"/>
  <c r="D13" i="5"/>
  <c r="B12" i="5"/>
  <c r="D11" i="5"/>
  <c r="D12" i="5" s="1"/>
  <c r="D27" i="5" s="1"/>
  <c r="F13" i="5" s="1"/>
  <c r="D10" i="5"/>
  <c r="B10" i="5"/>
  <c r="D9" i="5"/>
  <c r="D8" i="5"/>
  <c r="D7" i="5"/>
  <c r="B6" i="5"/>
  <c r="D5" i="5"/>
  <c r="D4" i="5"/>
  <c r="D6" i="5" s="1"/>
  <c r="D3" i="5"/>
  <c r="B27" i="5" l="1"/>
  <c r="F20" i="5"/>
  <c r="G21" i="5" s="1"/>
  <c r="B27" i="6"/>
  <c r="D10" i="6"/>
  <c r="D6" i="6"/>
  <c r="D24" i="6"/>
  <c r="D16" i="6"/>
  <c r="D14" i="6"/>
  <c r="D16" i="5"/>
  <c r="D14" i="5"/>
  <c r="F17" i="5" l="1"/>
  <c r="G18" i="5" s="1"/>
  <c r="H18" i="5" s="1"/>
  <c r="G20" i="5"/>
  <c r="G22" i="5" s="1"/>
  <c r="D27" i="6"/>
  <c r="I17" i="5"/>
  <c r="F25" i="5"/>
  <c r="F11" i="5"/>
  <c r="I13" i="5"/>
  <c r="F15" i="5"/>
  <c r="G24" i="5"/>
  <c r="H24" i="5" s="1"/>
  <c r="F3" i="5"/>
  <c r="G4" i="5" s="1"/>
  <c r="G26" i="5"/>
  <c r="H26" i="5" s="1"/>
  <c r="F23" i="5"/>
  <c r="F7" i="5"/>
  <c r="G7" i="5" s="1"/>
  <c r="G17" i="5" l="1"/>
  <c r="H17" i="5" s="1"/>
  <c r="J17" i="5" s="1"/>
  <c r="K17" i="5" s="1"/>
  <c r="L17" i="5" s="1"/>
  <c r="J18" i="5"/>
  <c r="K18" i="5" s="1"/>
  <c r="L18" i="5" s="1"/>
  <c r="G13" i="5"/>
  <c r="G14" i="5" s="1"/>
  <c r="H14" i="5" s="1"/>
  <c r="F3" i="6"/>
  <c r="F20" i="6"/>
  <c r="F11" i="6"/>
  <c r="F13" i="6"/>
  <c r="G24" i="6"/>
  <c r="H24" i="6" s="1"/>
  <c r="F15" i="6"/>
  <c r="G26" i="6"/>
  <c r="H26" i="6" s="1"/>
  <c r="F23" i="6"/>
  <c r="F17" i="6"/>
  <c r="F7" i="6"/>
  <c r="F25" i="6"/>
  <c r="I7" i="5"/>
  <c r="G8" i="5"/>
  <c r="H8" i="5" s="1"/>
  <c r="G9" i="5"/>
  <c r="H9" i="5" s="1"/>
  <c r="I11" i="5"/>
  <c r="G11" i="5"/>
  <c r="I20" i="5"/>
  <c r="H21" i="5"/>
  <c r="I25" i="5"/>
  <c r="G25" i="5"/>
  <c r="H25" i="5" s="1"/>
  <c r="I23" i="5"/>
  <c r="G23" i="5"/>
  <c r="H23" i="5" s="1"/>
  <c r="I3" i="5"/>
  <c r="G5" i="5"/>
  <c r="H5" i="5" s="1"/>
  <c r="G3" i="5"/>
  <c r="H4" i="5"/>
  <c r="I15" i="5"/>
  <c r="G15" i="5"/>
  <c r="G19" i="5" l="1"/>
  <c r="H19" i="5" s="1"/>
  <c r="J21" i="5"/>
  <c r="K21" i="5" s="1"/>
  <c r="L21" i="5" s="1"/>
  <c r="J8" i="5"/>
  <c r="K8" i="5" s="1"/>
  <c r="L8" i="5" s="1"/>
  <c r="J19" i="5"/>
  <c r="J23" i="5"/>
  <c r="J24" i="5" s="1"/>
  <c r="H13" i="5"/>
  <c r="J13" i="5" s="1"/>
  <c r="J14" i="5" s="1"/>
  <c r="J4" i="5"/>
  <c r="K4" i="5" s="1"/>
  <c r="L4" i="5" s="1"/>
  <c r="J5" i="5"/>
  <c r="K5" i="5" s="1"/>
  <c r="L5" i="5" s="1"/>
  <c r="I17" i="6"/>
  <c r="G17" i="6"/>
  <c r="G18" i="6"/>
  <c r="H18" i="6" s="1"/>
  <c r="I3" i="6"/>
  <c r="G3" i="6"/>
  <c r="G4" i="6"/>
  <c r="H4" i="6" s="1"/>
  <c r="G5" i="6"/>
  <c r="H5" i="6" s="1"/>
  <c r="I23" i="6"/>
  <c r="G23" i="6"/>
  <c r="H23" i="6" s="1"/>
  <c r="I15" i="6"/>
  <c r="G15" i="6"/>
  <c r="I13" i="6"/>
  <c r="G13" i="6"/>
  <c r="I25" i="6"/>
  <c r="G25" i="6"/>
  <c r="H25" i="6" s="1"/>
  <c r="I11" i="6"/>
  <c r="G11" i="6"/>
  <c r="I7" i="6"/>
  <c r="G9" i="6"/>
  <c r="H9" i="6" s="1"/>
  <c r="G7" i="6"/>
  <c r="G8" i="6"/>
  <c r="H8" i="6" s="1"/>
  <c r="G20" i="6"/>
  <c r="G21" i="6"/>
  <c r="H21" i="6" s="1"/>
  <c r="I20" i="6"/>
  <c r="K19" i="5"/>
  <c r="G6" i="5"/>
  <c r="H6" i="5" s="1"/>
  <c r="H3" i="5"/>
  <c r="J3" i="5" s="1"/>
  <c r="H20" i="5"/>
  <c r="J20" i="5" s="1"/>
  <c r="H22" i="5"/>
  <c r="H11" i="5"/>
  <c r="J11" i="5" s="1"/>
  <c r="G12" i="5"/>
  <c r="H12" i="5" s="1"/>
  <c r="H15" i="5"/>
  <c r="J15" i="5" s="1"/>
  <c r="G16" i="5"/>
  <c r="H16" i="5" s="1"/>
  <c r="J9" i="5"/>
  <c r="K9" i="5" s="1"/>
  <c r="L9" i="5" s="1"/>
  <c r="J25" i="5"/>
  <c r="H7" i="5"/>
  <c r="J7" i="5" s="1"/>
  <c r="G10" i="5"/>
  <c r="H10" i="5" s="1"/>
  <c r="K13" i="5" l="1"/>
  <c r="K14" i="5" s="1"/>
  <c r="K23" i="5"/>
  <c r="L23" i="5" s="1"/>
  <c r="L24" i="5" s="1"/>
  <c r="J9" i="6"/>
  <c r="K9" i="6" s="1"/>
  <c r="L9" i="6" s="1"/>
  <c r="J4" i="6"/>
  <c r="K4" i="6" s="1"/>
  <c r="L4" i="6" s="1"/>
  <c r="J8" i="6"/>
  <c r="K8" i="6" s="1"/>
  <c r="L8" i="6" s="1"/>
  <c r="J25" i="6"/>
  <c r="K25" i="6" s="1"/>
  <c r="J5" i="6"/>
  <c r="K5" i="6" s="1"/>
  <c r="L5" i="6" s="1"/>
  <c r="J23" i="6"/>
  <c r="J24" i="6" s="1"/>
  <c r="H11" i="6"/>
  <c r="J11" i="6" s="1"/>
  <c r="G12" i="6"/>
  <c r="H12" i="6" s="1"/>
  <c r="J21" i="6"/>
  <c r="K21" i="6" s="1"/>
  <c r="L21" i="6" s="1"/>
  <c r="H20" i="6"/>
  <c r="J20" i="6" s="1"/>
  <c r="G22" i="6"/>
  <c r="H22" i="6" s="1"/>
  <c r="H13" i="6"/>
  <c r="J13" i="6" s="1"/>
  <c r="G14" i="6"/>
  <c r="H14" i="6" s="1"/>
  <c r="G6" i="6"/>
  <c r="H6" i="6" s="1"/>
  <c r="H3" i="6"/>
  <c r="J3" i="6" s="1"/>
  <c r="G10" i="6"/>
  <c r="H10" i="6" s="1"/>
  <c r="H7" i="6"/>
  <c r="J7" i="6" s="1"/>
  <c r="H15" i="6"/>
  <c r="J15" i="6" s="1"/>
  <c r="G16" i="6"/>
  <c r="H16" i="6" s="1"/>
  <c r="J18" i="6"/>
  <c r="K18" i="6" s="1"/>
  <c r="L18" i="6" s="1"/>
  <c r="H17" i="6"/>
  <c r="J17" i="6" s="1"/>
  <c r="G19" i="6"/>
  <c r="H19" i="6" s="1"/>
  <c r="H27" i="5"/>
  <c r="J10" i="5"/>
  <c r="K7" i="5"/>
  <c r="K25" i="5"/>
  <c r="J26" i="5"/>
  <c r="J22" i="5"/>
  <c r="K20" i="5"/>
  <c r="J6" i="5"/>
  <c r="K3" i="5"/>
  <c r="J16" i="5"/>
  <c r="K15" i="5"/>
  <c r="J12" i="5"/>
  <c r="K11" i="5"/>
  <c r="L13" i="5" l="1"/>
  <c r="L14" i="5" s="1"/>
  <c r="K24" i="5"/>
  <c r="J26" i="6"/>
  <c r="K23" i="6"/>
  <c r="K24" i="6" s="1"/>
  <c r="J14" i="6"/>
  <c r="K13" i="6"/>
  <c r="J12" i="6"/>
  <c r="K11" i="6"/>
  <c r="J16" i="6"/>
  <c r="K15" i="6"/>
  <c r="J22" i="6"/>
  <c r="K20" i="6"/>
  <c r="J10" i="6"/>
  <c r="K7" i="6"/>
  <c r="L25" i="6"/>
  <c r="K26" i="6"/>
  <c r="J6" i="6"/>
  <c r="K3" i="6"/>
  <c r="H27" i="6"/>
  <c r="J19" i="6"/>
  <c r="K17" i="6"/>
  <c r="L3" i="5"/>
  <c r="L6" i="5" s="1"/>
  <c r="K6" i="5"/>
  <c r="K10" i="5"/>
  <c r="L7" i="5"/>
  <c r="L10" i="5" s="1"/>
  <c r="K22" i="5"/>
  <c r="E34" i="5" s="1"/>
  <c r="G34" i="5" s="1"/>
  <c r="I34" i="5" s="1"/>
  <c r="L20" i="5"/>
  <c r="K12" i="5"/>
  <c r="L11" i="5"/>
  <c r="L12" i="5" s="1"/>
  <c r="L15" i="5"/>
  <c r="L16" i="5" s="1"/>
  <c r="K16" i="5"/>
  <c r="L25" i="5"/>
  <c r="L26" i="5" s="1"/>
  <c r="K26" i="5"/>
  <c r="E33" i="5" l="1"/>
  <c r="L23" i="6"/>
  <c r="L24" i="6" s="1"/>
  <c r="L26" i="6" s="1"/>
  <c r="L7" i="6"/>
  <c r="L10" i="6" s="1"/>
  <c r="K10" i="6"/>
  <c r="K14" i="6"/>
  <c r="L13" i="6"/>
  <c r="L14" i="6" s="1"/>
  <c r="K22" i="6"/>
  <c r="L20" i="6"/>
  <c r="K6" i="6"/>
  <c r="L3" i="6"/>
  <c r="L6" i="6" s="1"/>
  <c r="K16" i="6"/>
  <c r="L15" i="6"/>
  <c r="L16" i="6" s="1"/>
  <c r="L11" i="6"/>
  <c r="L12" i="6" s="1"/>
  <c r="F33" i="6" s="1"/>
  <c r="H33" i="6" s="1"/>
  <c r="H35" i="6" s="1"/>
  <c r="K12" i="6"/>
  <c r="L17" i="6"/>
  <c r="K19" i="6"/>
  <c r="F33" i="5"/>
  <c r="H33" i="5" l="1"/>
  <c r="H35" i="5" s="1"/>
  <c r="E35" i="5"/>
  <c r="G33" i="5"/>
  <c r="I33" i="5" s="1"/>
  <c r="I35" i="5" s="1"/>
  <c r="E33" i="6"/>
  <c r="K27" i="6"/>
  <c r="E34" i="6"/>
  <c r="G34" i="6" s="1"/>
  <c r="I34" i="6" s="1"/>
  <c r="E35" i="6" l="1"/>
  <c r="G33" i="6"/>
  <c r="I33" i="6" s="1"/>
  <c r="I35" i="6" s="1"/>
</calcChain>
</file>

<file path=xl/sharedStrings.xml><?xml version="1.0" encoding="utf-8"?>
<sst xmlns="http://schemas.openxmlformats.org/spreadsheetml/2006/main" count="124" uniqueCount="60">
  <si>
    <t>EUR</t>
  </si>
  <si>
    <t>TRY</t>
  </si>
  <si>
    <t>USD</t>
  </si>
  <si>
    <t>Bono</t>
  </si>
  <si>
    <t>TL</t>
  </si>
  <si>
    <t xml:space="preserve">Tahvil </t>
  </si>
  <si>
    <t>Tahvil</t>
  </si>
  <si>
    <t>TRT170221T12.COL</t>
  </si>
  <si>
    <t>TRT110226T13.COL</t>
  </si>
  <si>
    <t>TCELL.COL</t>
  </si>
  <si>
    <t>GARAN.COL</t>
  </si>
  <si>
    <t>IBV.COL</t>
  </si>
  <si>
    <t>AAV.COL</t>
  </si>
  <si>
    <t>Teminat Serisi</t>
  </si>
  <si>
    <t>Adet*Fiyat</t>
  </si>
  <si>
    <t>Kesinti Sonrası Değeri</t>
  </si>
  <si>
    <t>Teminat Değerleme Grubu</t>
  </si>
  <si>
    <t>Değerleme Grup Limiti (%)</t>
  </si>
  <si>
    <t>Min (Kesinti Sonrası Değer,  DGiD)</t>
  </si>
  <si>
    <t>Alt Grup Limiti (AGL%)</t>
  </si>
  <si>
    <t>AGL İçi Değeri (AGLD)</t>
  </si>
  <si>
    <t>Değerlenmiş Teminat (Döviz Cinsi)</t>
  </si>
  <si>
    <t>TEMİNAT DEĞERLEMESİ</t>
  </si>
  <si>
    <t>Minimum Nakit Gereksinimi (Baz Kur TL)</t>
  </si>
  <si>
    <t>Hesabın Baz Döviz Cinsi</t>
  </si>
  <si>
    <t>Teminat Fazlası / Açığı</t>
  </si>
  <si>
    <t>Nakit Teminat Fazlası / Açığı</t>
  </si>
  <si>
    <t>Gün Sonu Kar/Zarar Nakdi Uzl.</t>
  </si>
  <si>
    <t xml:space="preserve">Minimum Nakit Gereksinimi </t>
  </si>
  <si>
    <t>Pay (Bist-30)</t>
  </si>
  <si>
    <t>Değerleme Katsayıları</t>
  </si>
  <si>
    <t>Değerlenmiş Teminat 
(Baz Kur)</t>
  </si>
  <si>
    <t>İşlem Öncesi Risk Yönetimi Teminatı/Açığı</t>
  </si>
  <si>
    <t>İşlem Sonrası Risk Yönetimi Teminatı/Açığı</t>
  </si>
  <si>
    <t>Hesap Teminat Gereksini (Baz Kur TL)</t>
  </si>
  <si>
    <t>Bulunan Nakit Teminat (Baz Kur TL)</t>
  </si>
  <si>
    <t>TL/USD</t>
  </si>
  <si>
    <t>SUKUK_TRY</t>
  </si>
  <si>
    <t>TL/EUR</t>
  </si>
  <si>
    <t>Hisse Yoğun Şemsiye F.</t>
  </si>
  <si>
    <t>Borçlanma Araçları Şems. F.</t>
  </si>
  <si>
    <t>BIST100dışı</t>
  </si>
  <si>
    <t>Pay (Bist-100dışı Kabul Edilmez)</t>
  </si>
  <si>
    <t>TEMİNAT MEKTUBU</t>
  </si>
  <si>
    <t>TRB131217T10.COL</t>
  </si>
  <si>
    <t>Teminat Mektubu</t>
  </si>
  <si>
    <t>Değerleme Grup İçi Max. Değeri (DGiD)</t>
  </si>
  <si>
    <t>Pay (Bist-30/100)</t>
  </si>
  <si>
    <t>Toplam Değerlenmiş Teminat          ( Baz Kur TL )</t>
  </si>
  <si>
    <t>XS0993155398.COL (TL)</t>
  </si>
  <si>
    <t>US900123AY60.COL (TL)</t>
  </si>
  <si>
    <t>EURCASH (TL)</t>
  </si>
  <si>
    <t>USDCASH (TL)</t>
  </si>
  <si>
    <t>TREASURY-SUKUK (TL)</t>
  </si>
  <si>
    <t>EUR (TL)</t>
  </si>
  <si>
    <t>USD (TL)</t>
  </si>
  <si>
    <t>Toplam Teminat Fazlası / Açığı</t>
  </si>
  <si>
    <t>Teminat Gereksinimi (TL)</t>
  </si>
  <si>
    <t>Teminat Gereksinimi (FX)</t>
  </si>
  <si>
    <t>Teminat Gereksinimi 
(Hipotetik-Döviz Bazında)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</si>
</sst>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9"/>
      <color rgb="FF0070C0"/>
      <name val="Calibri"/>
      <family val="2"/>
      <scheme val="minor"/>
    </font>
    <font>
      <b/>
      <sz val="9"/>
      <color rgb="FFC00000"/>
      <name val="Calibri"/>
      <family val="2"/>
      <charset val="162"/>
      <scheme val="minor"/>
    </font>
    <font>
      <b/>
      <sz val="9"/>
      <color rgb="FF0070C0"/>
      <name val="Calibri"/>
      <family val="2"/>
      <charset val="162"/>
      <scheme val="minor"/>
    </font>
    <font>
      <b/>
      <sz val="9"/>
      <color theme="3"/>
      <name val="Calibri"/>
      <family val="2"/>
      <scheme val="minor"/>
    </font>
    <font>
      <b/>
      <sz val="14"/>
      <color theme="0"/>
      <name val="Cambria"/>
      <family val="1"/>
      <charset val="162"/>
      <scheme val="major"/>
    </font>
    <font>
      <sz val="9"/>
      <name val="Calibri"/>
      <family val="2"/>
      <charset val="162"/>
      <scheme val="minor"/>
    </font>
    <font>
      <sz val="9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trike/>
      <sz val="9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Protection="1">
      <protection locked="0"/>
    </xf>
    <xf numFmtId="3" fontId="5" fillId="5" borderId="0" xfId="0" applyNumberFormat="1" applyFont="1" applyFill="1" applyProtection="1">
      <protection locked="0"/>
    </xf>
    <xf numFmtId="0" fontId="0" fillId="2" borderId="0" xfId="0" applyFill="1" applyBorder="1" applyProtection="1">
      <protection locked="0"/>
    </xf>
    <xf numFmtId="3" fontId="5" fillId="2" borderId="0" xfId="0" applyNumberFormat="1" applyFont="1" applyFill="1" applyProtection="1"/>
    <xf numFmtId="3" fontId="10" fillId="4" borderId="2" xfId="0" applyNumberFormat="1" applyFont="1" applyFill="1" applyBorder="1" applyProtection="1"/>
    <xf numFmtId="3" fontId="4" fillId="4" borderId="0" xfId="0" applyNumberFormat="1" applyFont="1" applyFill="1" applyProtection="1"/>
    <xf numFmtId="4" fontId="10" fillId="4" borderId="2" xfId="0" applyNumberFormat="1" applyFont="1" applyFill="1" applyBorder="1" applyProtection="1"/>
    <xf numFmtId="3" fontId="10" fillId="2" borderId="2" xfId="0" applyNumberFormat="1" applyFont="1" applyFill="1" applyBorder="1" applyProtection="1"/>
    <xf numFmtId="3" fontId="4" fillId="2" borderId="0" xfId="0" applyNumberFormat="1" applyFont="1" applyFill="1" applyProtection="1"/>
    <xf numFmtId="3" fontId="5" fillId="4" borderId="0" xfId="0" applyNumberFormat="1" applyFont="1" applyFill="1" applyProtection="1"/>
    <xf numFmtId="3" fontId="7" fillId="4" borderId="0" xfId="0" applyNumberFormat="1" applyFont="1" applyFill="1" applyProtection="1"/>
    <xf numFmtId="3" fontId="6" fillId="2" borderId="0" xfId="0" applyNumberFormat="1" applyFont="1" applyFill="1" applyProtection="1"/>
    <xf numFmtId="3" fontId="5" fillId="4" borderId="3" xfId="0" applyNumberFormat="1" applyFont="1" applyFill="1" applyBorder="1" applyProtection="1"/>
    <xf numFmtId="0" fontId="0" fillId="2" borderId="0" xfId="0" applyFill="1" applyProtection="1"/>
    <xf numFmtId="3" fontId="11" fillId="2" borderId="0" xfId="0" applyNumberFormat="1" applyFont="1" applyFill="1" applyProtection="1"/>
    <xf numFmtId="0" fontId="4" fillId="2" borderId="0" xfId="0" applyFont="1" applyFill="1" applyProtection="1"/>
    <xf numFmtId="0" fontId="0" fillId="2" borderId="0" xfId="0" applyFill="1" applyBorder="1" applyProtection="1"/>
    <xf numFmtId="0" fontId="5" fillId="2" borderId="0" xfId="0" applyFont="1" applyFill="1" applyBorder="1" applyProtection="1"/>
    <xf numFmtId="0" fontId="7" fillId="2" borderId="0" xfId="0" applyFont="1" applyFill="1" applyBorder="1" applyProtection="1"/>
    <xf numFmtId="3" fontId="9" fillId="4" borderId="0" xfId="0" applyNumberFormat="1" applyFont="1" applyFill="1" applyProtection="1"/>
    <xf numFmtId="0" fontId="0" fillId="4" borderId="0" xfId="0" applyFill="1" applyProtection="1"/>
    <xf numFmtId="3" fontId="0" fillId="4" borderId="0" xfId="0" applyNumberFormat="1" applyFill="1" applyProtection="1"/>
    <xf numFmtId="164" fontId="13" fillId="2" borderId="2" xfId="2" applyNumberFormat="1" applyFont="1" applyFill="1" applyBorder="1" applyProtection="1"/>
    <xf numFmtId="3" fontId="0" fillId="2" borderId="0" xfId="0" applyNumberFormat="1" applyFill="1" applyBorder="1" applyProtection="1">
      <protection locked="0"/>
    </xf>
    <xf numFmtId="0" fontId="4" fillId="4" borderId="0" xfId="0" applyFont="1" applyFill="1" applyAlignment="1" applyProtection="1">
      <alignment horizontal="center" vertical="center" wrapText="1"/>
    </xf>
    <xf numFmtId="9" fontId="8" fillId="6" borderId="2" xfId="0" applyNumberFormat="1" applyFont="1" applyFill="1" applyBorder="1" applyProtection="1"/>
    <xf numFmtId="9" fontId="8" fillId="6" borderId="2" xfId="1" applyFont="1" applyFill="1" applyBorder="1" applyProtection="1"/>
    <xf numFmtId="4" fontId="10" fillId="6" borderId="2" xfId="0" applyNumberFormat="1" applyFont="1" applyFill="1" applyBorder="1" applyProtection="1"/>
    <xf numFmtId="3" fontId="14" fillId="2" borderId="0" xfId="0" applyNumberFormat="1" applyFont="1" applyFill="1" applyProtection="1"/>
    <xf numFmtId="3" fontId="15" fillId="2" borderId="0" xfId="0" applyNumberFormat="1" applyFont="1" applyFill="1" applyProtection="1"/>
    <xf numFmtId="0" fontId="3" fillId="3" borderId="0" xfId="0" applyFont="1" applyFill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4" fillId="3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center"/>
      <protection locked="0"/>
    </xf>
    <xf numFmtId="3" fontId="18" fillId="2" borderId="0" xfId="0" applyNumberFormat="1" applyFont="1" applyFill="1" applyProtection="1"/>
    <xf numFmtId="164" fontId="5" fillId="2" borderId="2" xfId="2" applyNumberFormat="1" applyFont="1" applyFill="1" applyBorder="1" applyAlignment="1" applyProtection="1">
      <alignment vertical="center"/>
    </xf>
    <xf numFmtId="0" fontId="17" fillId="2" borderId="0" xfId="0" applyFont="1" applyFill="1" applyBorder="1" applyProtection="1"/>
    <xf numFmtId="0" fontId="17" fillId="2" borderId="0" xfId="0" applyFont="1" applyFill="1" applyBorder="1" applyProtection="1">
      <protection locked="0"/>
    </xf>
    <xf numFmtId="0" fontId="7" fillId="4" borderId="0" xfId="0" applyFont="1" applyFill="1" applyProtection="1"/>
    <xf numFmtId="3" fontId="16" fillId="6" borderId="4" xfId="0" applyNumberFormat="1" applyFont="1" applyFill="1" applyBorder="1" applyProtection="1"/>
    <xf numFmtId="0" fontId="12" fillId="3" borderId="0" xfId="0" applyFont="1" applyFill="1" applyAlignment="1" applyProtection="1">
      <alignment horizontal="center" wrapText="1"/>
    </xf>
    <xf numFmtId="164" fontId="5" fillId="2" borderId="2" xfId="2" applyNumberFormat="1" applyFont="1" applyFill="1" applyBorder="1" applyAlignment="1" applyProtection="1">
      <alignment horizontal="center" vertical="center"/>
    </xf>
    <xf numFmtId="164" fontId="5" fillId="2" borderId="2" xfId="0" applyNumberFormat="1" applyFont="1" applyFill="1" applyBorder="1" applyAlignment="1" applyProtection="1">
      <alignment horizontal="center" vertical="center"/>
    </xf>
    <xf numFmtId="3" fontId="19" fillId="6" borderId="4" xfId="0" applyNumberFormat="1" applyFont="1" applyFill="1" applyBorder="1" applyProtection="1"/>
    <xf numFmtId="9" fontId="19" fillId="6" borderId="4" xfId="1" applyFont="1" applyFill="1" applyBorder="1" applyProtection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Normal="100" workbookViewId="0">
      <selection activeCell="K31" sqref="K31"/>
    </sheetView>
  </sheetViews>
  <sheetFormatPr defaultRowHeight="15" x14ac:dyDescent="0.25"/>
  <cols>
    <col min="1" max="1" width="22.42578125" style="1" customWidth="1"/>
    <col min="2" max="2" width="11.7109375" style="1" customWidth="1"/>
    <col min="3" max="3" width="10.140625" style="1" customWidth="1"/>
    <col min="4" max="4" width="10.7109375" style="1" customWidth="1"/>
    <col min="5" max="5" width="25.140625" style="1" customWidth="1"/>
    <col min="6" max="6" width="11.140625" style="1" bestFit="1" customWidth="1"/>
    <col min="7" max="7" width="15" style="1" customWidth="1"/>
    <col min="8" max="8" width="14.140625" style="1" customWidth="1"/>
    <col min="9" max="9" width="12.7109375" style="1" customWidth="1"/>
    <col min="10" max="10" width="11.85546875" style="1" customWidth="1"/>
    <col min="11" max="11" width="22.85546875" style="1" customWidth="1"/>
    <col min="12" max="12" width="14.140625" style="1" customWidth="1"/>
    <col min="13" max="16384" width="9.140625" style="1"/>
  </cols>
  <sheetData>
    <row r="1" spans="1:12" ht="18.75" thickBot="1" x14ac:dyDescent="0.3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34" customFormat="1" ht="44.25" customHeight="1" x14ac:dyDescent="0.25">
      <c r="A2" s="31" t="s">
        <v>13</v>
      </c>
      <c r="B2" s="31" t="s">
        <v>14</v>
      </c>
      <c r="C2" s="32" t="s">
        <v>30</v>
      </c>
      <c r="D2" s="31" t="s">
        <v>15</v>
      </c>
      <c r="E2" s="31" t="s">
        <v>16</v>
      </c>
      <c r="F2" s="32" t="s">
        <v>17</v>
      </c>
      <c r="G2" s="31" t="s">
        <v>46</v>
      </c>
      <c r="H2" s="31" t="s">
        <v>18</v>
      </c>
      <c r="I2" s="32" t="s">
        <v>19</v>
      </c>
      <c r="J2" s="31" t="s">
        <v>20</v>
      </c>
      <c r="K2" s="33" t="s">
        <v>31</v>
      </c>
      <c r="L2" s="33" t="s">
        <v>21</v>
      </c>
    </row>
    <row r="3" spans="1:12" x14ac:dyDescent="0.25">
      <c r="A3" s="4" t="s">
        <v>44</v>
      </c>
      <c r="B3" s="2">
        <v>100000</v>
      </c>
      <c r="C3" s="28">
        <v>0.91</v>
      </c>
      <c r="D3" s="4">
        <f>B3*C3</f>
        <v>91000</v>
      </c>
      <c r="E3" s="4" t="s">
        <v>3</v>
      </c>
      <c r="F3" s="42">
        <f>$D$27*F6</f>
        <v>1243620.0000001639</v>
      </c>
      <c r="G3" s="4">
        <f>D3/$D$6*$F$3</f>
        <v>1243619.9999976768</v>
      </c>
      <c r="H3" s="4">
        <f>MIN(G3,D3)</f>
        <v>91000</v>
      </c>
      <c r="I3" s="43">
        <f>F3*$I$6</f>
        <v>621810.00000008196</v>
      </c>
      <c r="J3" s="4">
        <f>MIN(H3,$I$3)</f>
        <v>91000</v>
      </c>
      <c r="K3" s="4">
        <f>MIN(D3,J3)</f>
        <v>91000</v>
      </c>
      <c r="L3" s="4">
        <f>K3</f>
        <v>91000</v>
      </c>
    </row>
    <row r="4" spans="1:12" x14ac:dyDescent="0.25">
      <c r="A4" s="4" t="s">
        <v>7</v>
      </c>
      <c r="B4" s="2">
        <v>9.9999999999999995E-8</v>
      </c>
      <c r="C4" s="28">
        <v>0.91</v>
      </c>
      <c r="D4" s="4">
        <f t="shared" ref="D4:D5" si="0">B4*C4</f>
        <v>9.0999999999999994E-8</v>
      </c>
      <c r="E4" s="4" t="s">
        <v>5</v>
      </c>
      <c r="F4" s="42"/>
      <c r="G4" s="4">
        <f>D4/$D$6*$F$3</f>
        <v>1.2436199999976768E-6</v>
      </c>
      <c r="H4" s="4">
        <f>MIN(G4,D4)</f>
        <v>9.0999999999999994E-8</v>
      </c>
      <c r="I4" s="43"/>
      <c r="J4" s="4">
        <f>MIN(H4,$I$3)</f>
        <v>9.0999999999999994E-8</v>
      </c>
      <c r="K4" s="4">
        <f>MIN(D4,J4)</f>
        <v>9.0999999999999994E-8</v>
      </c>
      <c r="L4" s="4">
        <f>K4</f>
        <v>9.0999999999999994E-8</v>
      </c>
    </row>
    <row r="5" spans="1:12" x14ac:dyDescent="0.25">
      <c r="A5" s="4" t="s">
        <v>8</v>
      </c>
      <c r="B5" s="2">
        <v>9.9999999999999995E-8</v>
      </c>
      <c r="C5" s="28">
        <v>0.91</v>
      </c>
      <c r="D5" s="4">
        <f t="shared" si="0"/>
        <v>9.0999999999999994E-8</v>
      </c>
      <c r="E5" s="4" t="s">
        <v>6</v>
      </c>
      <c r="F5" s="42"/>
      <c r="G5" s="4">
        <f>D5/$D$6*$F$3</f>
        <v>1.2436199999976768E-6</v>
      </c>
      <c r="H5" s="4">
        <f>MIN(G5,D5)</f>
        <v>9.0999999999999994E-8</v>
      </c>
      <c r="I5" s="43"/>
      <c r="J5" s="4">
        <f>MIN(H5,$I$3)</f>
        <v>9.0999999999999994E-8</v>
      </c>
      <c r="K5" s="4">
        <f>MIN(D5,J5)</f>
        <v>9.0999999999999994E-8</v>
      </c>
      <c r="L5" s="4">
        <f>K5</f>
        <v>9.0999999999999994E-8</v>
      </c>
    </row>
    <row r="6" spans="1:12" x14ac:dyDescent="0.25">
      <c r="A6" s="6"/>
      <c r="B6" s="6">
        <f>SUM(B3:B5)</f>
        <v>100000.0000002</v>
      </c>
      <c r="C6" s="5"/>
      <c r="D6" s="6">
        <f>SUM(D3:D5)</f>
        <v>91000.000000181986</v>
      </c>
      <c r="E6" s="6"/>
      <c r="F6" s="26">
        <v>0.9</v>
      </c>
      <c r="G6" s="6">
        <f>SUM(G3:G5)</f>
        <v>1243620.0000001639</v>
      </c>
      <c r="H6" s="6">
        <f>MIN(D6,G6)</f>
        <v>91000.000000181986</v>
      </c>
      <c r="I6" s="26">
        <v>0.5</v>
      </c>
      <c r="J6" s="6">
        <f>SUM(J3:J5)</f>
        <v>91000.000000181986</v>
      </c>
      <c r="K6" s="6">
        <f>SUM(K3:K5)</f>
        <v>91000.000000181986</v>
      </c>
      <c r="L6" s="6">
        <f>SUM(L3:L5)</f>
        <v>91000.000000181986</v>
      </c>
    </row>
    <row r="7" spans="1:12" x14ac:dyDescent="0.25">
      <c r="A7" s="4" t="s">
        <v>10</v>
      </c>
      <c r="B7" s="2">
        <v>10000</v>
      </c>
      <c r="C7" s="28">
        <v>0.76</v>
      </c>
      <c r="D7" s="4">
        <f>B7*C7</f>
        <v>7600</v>
      </c>
      <c r="E7" s="4" t="s">
        <v>29</v>
      </c>
      <c r="F7" s="42">
        <f>$D$27*F10</f>
        <v>552720.00000007288</v>
      </c>
      <c r="G7" s="4">
        <f>D7/$D$10*$F$7</f>
        <v>287717.26027401054</v>
      </c>
      <c r="H7" s="4">
        <f>MIN(G7,D7)</f>
        <v>7600</v>
      </c>
      <c r="I7" s="42">
        <f>F7*I10</f>
        <v>110544.00000001458</v>
      </c>
      <c r="J7" s="4">
        <f>MIN(H7,$I$7)</f>
        <v>7600</v>
      </c>
      <c r="K7" s="4">
        <f>MIN(D7,J7)</f>
        <v>7600</v>
      </c>
      <c r="L7" s="4">
        <f>K7</f>
        <v>7600</v>
      </c>
    </row>
    <row r="8" spans="1:12" x14ac:dyDescent="0.25">
      <c r="A8" s="4" t="s">
        <v>9</v>
      </c>
      <c r="B8" s="2">
        <v>10000</v>
      </c>
      <c r="C8" s="28">
        <v>0.7</v>
      </c>
      <c r="D8" s="4">
        <f>B8*C8</f>
        <v>7000</v>
      </c>
      <c r="E8" s="4" t="s">
        <v>47</v>
      </c>
      <c r="F8" s="42"/>
      <c r="G8" s="4">
        <f>D8/$D$10*$F$7</f>
        <v>265002.73972606234</v>
      </c>
      <c r="H8" s="4">
        <f>MIN(G8,D8)</f>
        <v>7000</v>
      </c>
      <c r="I8" s="42"/>
      <c r="J8" s="4">
        <f>MIN(H8,$I$7)</f>
        <v>7000</v>
      </c>
      <c r="K8" s="4">
        <f>MIN(D8,J8)</f>
        <v>7000</v>
      </c>
      <c r="L8" s="4">
        <f>K8</f>
        <v>7000</v>
      </c>
    </row>
    <row r="9" spans="1:12" x14ac:dyDescent="0.25">
      <c r="A9" s="35" t="s">
        <v>41</v>
      </c>
      <c r="B9" s="2">
        <v>9.9999999999999995E-8</v>
      </c>
      <c r="C9" s="28">
        <v>0</v>
      </c>
      <c r="D9" s="4">
        <f>B9*C9</f>
        <v>0</v>
      </c>
      <c r="E9" s="4" t="s">
        <v>42</v>
      </c>
      <c r="F9" s="42"/>
      <c r="G9" s="4">
        <f>D9/$D$10*$F$7</f>
        <v>0</v>
      </c>
      <c r="H9" s="4">
        <f>MIN(G9,D9)</f>
        <v>0</v>
      </c>
      <c r="I9" s="42"/>
      <c r="J9" s="4">
        <f>MIN(H9,$I$7)</f>
        <v>0</v>
      </c>
      <c r="K9" s="4">
        <f>MIN(D9,J9)</f>
        <v>0</v>
      </c>
      <c r="L9" s="4">
        <f>K9</f>
        <v>0</v>
      </c>
    </row>
    <row r="10" spans="1:12" x14ac:dyDescent="0.25">
      <c r="A10" s="6"/>
      <c r="B10" s="6">
        <f>SUM(B7:B9)</f>
        <v>20000.000000100001</v>
      </c>
      <c r="C10" s="7"/>
      <c r="D10" s="6">
        <f>SUM(D7:D9)</f>
        <v>14600</v>
      </c>
      <c r="E10" s="6"/>
      <c r="F10" s="26">
        <v>0.4</v>
      </c>
      <c r="G10" s="6">
        <f>SUM(G7:G9)</f>
        <v>552720.00000007288</v>
      </c>
      <c r="H10" s="6">
        <f>MIN(D10,G10)</f>
        <v>14600</v>
      </c>
      <c r="I10" s="27">
        <v>0.2</v>
      </c>
      <c r="J10" s="6">
        <f>SUM(J7:J9)</f>
        <v>14600</v>
      </c>
      <c r="K10" s="6">
        <f>SUM(K7:K9)</f>
        <v>14600</v>
      </c>
      <c r="L10" s="6">
        <f>SUM(L7:L9)</f>
        <v>14600</v>
      </c>
    </row>
    <row r="11" spans="1:12" x14ac:dyDescent="0.25">
      <c r="A11" s="4" t="s">
        <v>4</v>
      </c>
      <c r="B11" s="2">
        <v>75000</v>
      </c>
      <c r="C11" s="8">
        <v>1</v>
      </c>
      <c r="D11" s="4">
        <f>B11*C11</f>
        <v>75000</v>
      </c>
      <c r="E11" s="4" t="s">
        <v>4</v>
      </c>
      <c r="F11" s="23">
        <f>$D$27*F12</f>
        <v>1381800.0000001821</v>
      </c>
      <c r="G11" s="4">
        <f>D11/$D$12*$F$11</f>
        <v>1381800.0000001821</v>
      </c>
      <c r="H11" s="4">
        <f>MIN(G11,D11)</f>
        <v>75000</v>
      </c>
      <c r="I11" s="23">
        <f>F11*I12</f>
        <v>1381800.0000001821</v>
      </c>
      <c r="J11" s="4">
        <f>MIN(H11,$I$11)</f>
        <v>75000</v>
      </c>
      <c r="K11" s="4">
        <f>MIN(D11,J11)</f>
        <v>75000</v>
      </c>
      <c r="L11" s="4">
        <f>K11</f>
        <v>75000</v>
      </c>
    </row>
    <row r="12" spans="1:12" x14ac:dyDescent="0.25">
      <c r="A12" s="10"/>
      <c r="B12" s="11">
        <f>SUM(B11)</f>
        <v>75000</v>
      </c>
      <c r="C12" s="5"/>
      <c r="D12" s="6">
        <f>SUM(D11)</f>
        <v>75000</v>
      </c>
      <c r="E12" s="10"/>
      <c r="F12" s="26">
        <v>1</v>
      </c>
      <c r="G12" s="6">
        <f>SUM(G11)</f>
        <v>1381800.0000001821</v>
      </c>
      <c r="H12" s="6">
        <f>MIN(D12,G12)</f>
        <v>75000</v>
      </c>
      <c r="I12" s="26">
        <v>1</v>
      </c>
      <c r="J12" s="10">
        <f>SUM(J11)</f>
        <v>75000</v>
      </c>
      <c r="K12" s="11">
        <f>SUM(K11)</f>
        <v>75000</v>
      </c>
      <c r="L12" s="6">
        <f>SUM(L11)</f>
        <v>75000</v>
      </c>
    </row>
    <row r="13" spans="1:12" x14ac:dyDescent="0.25">
      <c r="A13" s="4" t="s">
        <v>12</v>
      </c>
      <c r="B13" s="2">
        <v>10000</v>
      </c>
      <c r="C13" s="28">
        <v>0.82</v>
      </c>
      <c r="D13" s="12">
        <f>B13*C13</f>
        <v>8200</v>
      </c>
      <c r="E13" s="4" t="s">
        <v>39</v>
      </c>
      <c r="F13" s="23">
        <f>$D$27*F14</f>
        <v>552720.00000007288</v>
      </c>
      <c r="G13" s="4">
        <f>D13/$D$14*$F$13</f>
        <v>552720.00000007288</v>
      </c>
      <c r="H13" s="4">
        <f>MIN(G13,D13)</f>
        <v>8200</v>
      </c>
      <c r="I13" s="23">
        <f>F13*I14</f>
        <v>110544.00000001458</v>
      </c>
      <c r="J13" s="4">
        <f>MIN(H13,$I$13)</f>
        <v>8200</v>
      </c>
      <c r="K13" s="4">
        <f>MIN(D13,J13)</f>
        <v>8200</v>
      </c>
      <c r="L13" s="4">
        <f>K13</f>
        <v>8200</v>
      </c>
    </row>
    <row r="14" spans="1:12" x14ac:dyDescent="0.25">
      <c r="A14" s="10"/>
      <c r="B14" s="11">
        <f>SUM(B13)</f>
        <v>10000</v>
      </c>
      <c r="C14" s="5"/>
      <c r="D14" s="6">
        <f>SUM(D13)</f>
        <v>8200</v>
      </c>
      <c r="E14" s="10"/>
      <c r="F14" s="26">
        <v>0.4</v>
      </c>
      <c r="G14" s="6">
        <f>SUM(G13)</f>
        <v>552720.00000007288</v>
      </c>
      <c r="H14" s="6">
        <f>MIN(D14,G14)</f>
        <v>8200</v>
      </c>
      <c r="I14" s="26">
        <v>0.2</v>
      </c>
      <c r="J14" s="10">
        <f>SUM(J13)</f>
        <v>8200</v>
      </c>
      <c r="K14" s="11">
        <f>SUM(K13)</f>
        <v>8200</v>
      </c>
      <c r="L14" s="6">
        <f>SUM(L13)</f>
        <v>8200</v>
      </c>
    </row>
    <row r="15" spans="1:12" x14ac:dyDescent="0.25">
      <c r="A15" s="4" t="s">
        <v>11</v>
      </c>
      <c r="B15" s="2">
        <v>10000</v>
      </c>
      <c r="C15" s="28">
        <v>0.88</v>
      </c>
      <c r="D15" s="9">
        <f>B15*C15</f>
        <v>8800</v>
      </c>
      <c r="E15" s="4" t="s">
        <v>40</v>
      </c>
      <c r="F15" s="23">
        <f>$D$27*F16</f>
        <v>276360.00000003644</v>
      </c>
      <c r="G15" s="4">
        <f>D15/$D$16*$F$15</f>
        <v>276360.00000003644</v>
      </c>
      <c r="H15" s="4">
        <f>MIN(G15,D15)</f>
        <v>8800</v>
      </c>
      <c r="I15" s="23">
        <f>F15*I16</f>
        <v>55272.000000007291</v>
      </c>
      <c r="J15" s="4">
        <f>MIN(H15,I15)</f>
        <v>8800</v>
      </c>
      <c r="K15" s="4">
        <f>MIN(D15,J15)</f>
        <v>8800</v>
      </c>
      <c r="L15" s="4">
        <f>K15</f>
        <v>8800</v>
      </c>
    </row>
    <row r="16" spans="1:12" x14ac:dyDescent="0.25">
      <c r="A16" s="10"/>
      <c r="B16" s="11">
        <f>SUM(B15)</f>
        <v>10000</v>
      </c>
      <c r="C16" s="5"/>
      <c r="D16" s="6">
        <f>SUM(D15)</f>
        <v>8800</v>
      </c>
      <c r="E16" s="10"/>
      <c r="F16" s="26">
        <v>0.2</v>
      </c>
      <c r="G16" s="6">
        <f>SUM(G15)</f>
        <v>276360.00000003644</v>
      </c>
      <c r="H16" s="6">
        <f>MIN(D16,G16)</f>
        <v>8800</v>
      </c>
      <c r="I16" s="26">
        <v>0.2</v>
      </c>
      <c r="J16" s="10">
        <f>SUM(J15)</f>
        <v>8800</v>
      </c>
      <c r="K16" s="11">
        <f>SUM(K15)</f>
        <v>8800</v>
      </c>
      <c r="L16" s="6">
        <f>SUM(L15)</f>
        <v>8800</v>
      </c>
    </row>
    <row r="17" spans="1:12" x14ac:dyDescent="0.25">
      <c r="A17" s="4" t="s">
        <v>49</v>
      </c>
      <c r="B17" s="2">
        <v>100000</v>
      </c>
      <c r="C17" s="28">
        <v>0.83</v>
      </c>
      <c r="D17" s="4">
        <f>B17*C17</f>
        <v>83000</v>
      </c>
      <c r="E17" s="4" t="s">
        <v>54</v>
      </c>
      <c r="F17" s="42">
        <f>$D$27*F19</f>
        <v>1243620.0000001639</v>
      </c>
      <c r="G17" s="4">
        <f>D17/$D$19*$F$17</f>
        <v>621810.00000008196</v>
      </c>
      <c r="H17" s="4">
        <f>MIN(G17,D17)</f>
        <v>83000</v>
      </c>
      <c r="I17" s="42">
        <f>F17*I19</f>
        <v>248724.0000000328</v>
      </c>
      <c r="J17" s="4">
        <f>MIN(H17,$I$17)</f>
        <v>83000</v>
      </c>
      <c r="K17" s="4">
        <f>MIN(D17,J17)</f>
        <v>83000</v>
      </c>
      <c r="L17" s="29">
        <f>K17/$E$30</f>
        <v>20750</v>
      </c>
    </row>
    <row r="18" spans="1:12" x14ac:dyDescent="0.25">
      <c r="A18" s="4" t="s">
        <v>50</v>
      </c>
      <c r="B18" s="2">
        <v>100000</v>
      </c>
      <c r="C18" s="28">
        <v>0.83</v>
      </c>
      <c r="D18" s="4">
        <f>B18*C18</f>
        <v>83000</v>
      </c>
      <c r="E18" s="4" t="s">
        <v>55</v>
      </c>
      <c r="F18" s="42"/>
      <c r="G18" s="4">
        <f>D18/$D$19*$F$17</f>
        <v>621810.00000008196</v>
      </c>
      <c r="H18" s="4">
        <f>MIN(G18,D18)</f>
        <v>83000</v>
      </c>
      <c r="I18" s="42"/>
      <c r="J18" s="4">
        <f>MIN(H18,$I$17)</f>
        <v>83000</v>
      </c>
      <c r="K18" s="4">
        <f>MIN(D18,J18)</f>
        <v>83000</v>
      </c>
      <c r="L18" s="29">
        <f>K18/$E$29</f>
        <v>23714.285714285714</v>
      </c>
    </row>
    <row r="19" spans="1:12" x14ac:dyDescent="0.25">
      <c r="A19" s="10"/>
      <c r="B19" s="11">
        <f>SUM(B17:B18)</f>
        <v>200000</v>
      </c>
      <c r="C19" s="5"/>
      <c r="D19" s="6">
        <f>SUM(D17:D18)</f>
        <v>166000</v>
      </c>
      <c r="E19" s="10"/>
      <c r="F19" s="26">
        <v>0.9</v>
      </c>
      <c r="G19" s="6">
        <f>SUM(G17:G18)</f>
        <v>1243620.0000001639</v>
      </c>
      <c r="H19" s="6">
        <f>MIN(D19,G19)</f>
        <v>166000</v>
      </c>
      <c r="I19" s="26">
        <v>0.2</v>
      </c>
      <c r="J19" s="10">
        <f>SUM(J17:J18)</f>
        <v>166000</v>
      </c>
      <c r="K19" s="6">
        <f>SUM(K17:K18)</f>
        <v>166000</v>
      </c>
      <c r="L19" s="6"/>
    </row>
    <row r="20" spans="1:12" x14ac:dyDescent="0.25">
      <c r="A20" s="4" t="s">
        <v>51</v>
      </c>
      <c r="B20" s="2">
        <v>0</v>
      </c>
      <c r="C20" s="28">
        <v>0.94</v>
      </c>
      <c r="D20" s="4">
        <f>B20*C20</f>
        <v>0</v>
      </c>
      <c r="E20" s="4" t="s">
        <v>0</v>
      </c>
      <c r="F20" s="42">
        <f>$D$27*F22</f>
        <v>1243620.0000001639</v>
      </c>
      <c r="G20" s="4">
        <f>D20/$D$22*$F$20</f>
        <v>0</v>
      </c>
      <c r="H20" s="4">
        <f>MIN(G20,D20)</f>
        <v>0</v>
      </c>
      <c r="I20" s="42">
        <f>F20*I22</f>
        <v>1243620.0000001639</v>
      </c>
      <c r="J20" s="4">
        <f>MIN(H20,$I$20)</f>
        <v>0</v>
      </c>
      <c r="K20" s="4">
        <f>MIN(D20,J20)</f>
        <v>0</v>
      </c>
      <c r="L20" s="29">
        <f>K20/$E$30</f>
        <v>0</v>
      </c>
    </row>
    <row r="21" spans="1:12" x14ac:dyDescent="0.25">
      <c r="A21" s="4" t="s">
        <v>52</v>
      </c>
      <c r="B21" s="2">
        <v>10000</v>
      </c>
      <c r="C21" s="28">
        <v>0.94</v>
      </c>
      <c r="D21" s="4">
        <f>B21*C21</f>
        <v>9400</v>
      </c>
      <c r="E21" s="4" t="s">
        <v>2</v>
      </c>
      <c r="F21" s="42"/>
      <c r="G21" s="4">
        <f>D21/$D$22*$F$20</f>
        <v>1243620.0000001639</v>
      </c>
      <c r="H21" s="4">
        <f>MIN(G21,D21)</f>
        <v>9400</v>
      </c>
      <c r="I21" s="42"/>
      <c r="J21" s="4">
        <f>MIN(H21,$I$20)</f>
        <v>9400</v>
      </c>
      <c r="K21" s="4">
        <f>MIN(D21,J21)</f>
        <v>9400</v>
      </c>
      <c r="L21" s="29">
        <f>K21/$E$29</f>
        <v>2685.7142857142858</v>
      </c>
    </row>
    <row r="22" spans="1:12" x14ac:dyDescent="0.25">
      <c r="A22" s="10"/>
      <c r="B22" s="11">
        <f>SUM(B20:B21)</f>
        <v>10000</v>
      </c>
      <c r="C22" s="5"/>
      <c r="D22" s="6">
        <f>SUM(D20:D21)</f>
        <v>9400</v>
      </c>
      <c r="E22" s="10"/>
      <c r="F22" s="26">
        <v>0.9</v>
      </c>
      <c r="G22" s="6">
        <f>SUM(G20:G21)</f>
        <v>1243620.0000001639</v>
      </c>
      <c r="H22" s="6">
        <f>MIN(D22,G22)</f>
        <v>9400</v>
      </c>
      <c r="I22" s="26">
        <v>1</v>
      </c>
      <c r="J22" s="10">
        <f>SUM(J20:J21)</f>
        <v>9400</v>
      </c>
      <c r="K22" s="6">
        <f>SUM(K20:K21)</f>
        <v>9400</v>
      </c>
      <c r="L22" s="6"/>
    </row>
    <row r="23" spans="1:12" x14ac:dyDescent="0.25">
      <c r="A23" s="4" t="s">
        <v>53</v>
      </c>
      <c r="B23" s="2">
        <v>10000</v>
      </c>
      <c r="C23" s="28">
        <v>0.88</v>
      </c>
      <c r="D23" s="4">
        <f>B23*C23</f>
        <v>8800</v>
      </c>
      <c r="E23" s="4" t="s">
        <v>37</v>
      </c>
      <c r="F23" s="36">
        <f>$D$27*F24</f>
        <v>690900.00000009104</v>
      </c>
      <c r="G23" s="4">
        <f>D24/$D$23*$F$23</f>
        <v>690900.00000009104</v>
      </c>
      <c r="H23" s="4">
        <f>MIN(G23,D23)</f>
        <v>8800</v>
      </c>
      <c r="I23" s="23">
        <f>F23*I24</f>
        <v>138180.00000001822</v>
      </c>
      <c r="J23" s="4">
        <f>MIN(H23,$I$23)</f>
        <v>8800</v>
      </c>
      <c r="K23" s="4">
        <f>MIN(D23,J23)</f>
        <v>8800</v>
      </c>
      <c r="L23" s="29">
        <f>K23/$E$29</f>
        <v>2514.2857142857142</v>
      </c>
    </row>
    <row r="24" spans="1:12" x14ac:dyDescent="0.25">
      <c r="A24" s="10"/>
      <c r="B24" s="11">
        <f>SUM(B23)</f>
        <v>10000</v>
      </c>
      <c r="C24" s="5"/>
      <c r="D24" s="6">
        <f>SUM(D23)</f>
        <v>8800</v>
      </c>
      <c r="E24" s="10"/>
      <c r="F24" s="26">
        <v>0.5</v>
      </c>
      <c r="G24" s="6">
        <f>D27*F24</f>
        <v>690900.00000009104</v>
      </c>
      <c r="H24" s="6">
        <f>MIN(D24,G24)</f>
        <v>8800</v>
      </c>
      <c r="I24" s="26">
        <v>0.2</v>
      </c>
      <c r="J24" s="10">
        <f>SUM(J23)</f>
        <v>8800</v>
      </c>
      <c r="K24" s="6">
        <f>SUM(K23)</f>
        <v>8800</v>
      </c>
      <c r="L24" s="6">
        <f>SUM(L22:L23)</f>
        <v>2514.2857142857142</v>
      </c>
    </row>
    <row r="25" spans="1:12" x14ac:dyDescent="0.25">
      <c r="A25" s="4" t="s">
        <v>43</v>
      </c>
      <c r="B25" s="2">
        <v>1000000</v>
      </c>
      <c r="C25" s="28">
        <v>1</v>
      </c>
      <c r="D25" s="4">
        <f>B25*C25</f>
        <v>1000000</v>
      </c>
      <c r="E25" s="4" t="s">
        <v>45</v>
      </c>
      <c r="F25" s="36">
        <f>$D$27*F26</f>
        <v>1036350.0000001366</v>
      </c>
      <c r="G25" s="4">
        <f>D26/$D$25*$F$25</f>
        <v>1036350.0000001366</v>
      </c>
      <c r="H25" s="4">
        <f>MIN(G25,D25)</f>
        <v>1000000</v>
      </c>
      <c r="I25" s="23">
        <f>F25*I26</f>
        <v>1036350.0000001366</v>
      </c>
      <c r="J25" s="4">
        <f>MIN(H25,$I$25)</f>
        <v>1000000</v>
      </c>
      <c r="K25" s="4">
        <f>MIN(D25,J25)</f>
        <v>1000000</v>
      </c>
      <c r="L25" s="29">
        <f>K25/$E$29</f>
        <v>285714.28571428574</v>
      </c>
    </row>
    <row r="26" spans="1:12" ht="15.75" thickBot="1" x14ac:dyDescent="0.3">
      <c r="A26" s="10"/>
      <c r="B26" s="11">
        <f>SUM(B25)</f>
        <v>1000000</v>
      </c>
      <c r="C26" s="13"/>
      <c r="D26" s="6">
        <f>SUM(D25)</f>
        <v>1000000</v>
      </c>
      <c r="E26" s="10"/>
      <c r="F26" s="26">
        <v>0.75</v>
      </c>
      <c r="G26" s="6">
        <f>D27*F26</f>
        <v>1036350.0000001366</v>
      </c>
      <c r="H26" s="6">
        <f>MIN(D26,G26)</f>
        <v>1000000</v>
      </c>
      <c r="I26" s="26">
        <v>1</v>
      </c>
      <c r="J26" s="10">
        <f>SUM(J25)</f>
        <v>1000000</v>
      </c>
      <c r="K26" s="6">
        <f>SUM(K25)</f>
        <v>1000000</v>
      </c>
      <c r="L26" s="6">
        <f>SUM(L24:L25)</f>
        <v>288228.57142857148</v>
      </c>
    </row>
    <row r="27" spans="1:12" ht="21.75" thickBot="1" x14ac:dyDescent="0.4">
      <c r="A27" s="14"/>
      <c r="B27" s="15">
        <f>B10+B22+B12+B14+B16+B6+B24+B26+B19</f>
        <v>1435000.0000002999</v>
      </c>
      <c r="C27" s="16"/>
      <c r="D27" s="15">
        <f>D10+D22+D12+D14+D16+D6+D24+D26+D19</f>
        <v>1381800.0000001821</v>
      </c>
      <c r="E27" s="16"/>
      <c r="F27" s="16"/>
      <c r="G27" s="9"/>
      <c r="H27" s="30">
        <f>SUM(H6+H10+H12+H14+H16+H22+H24+H26+H19)</f>
        <v>1381800.0000001821</v>
      </c>
      <c r="I27" s="16"/>
      <c r="J27" s="16"/>
      <c r="K27" s="40">
        <f>K10+K22+K12+K14+K16+K6+K24+K26+K19</f>
        <v>1381800.0000001821</v>
      </c>
      <c r="L27" s="16"/>
    </row>
    <row r="28" spans="1:12" x14ac:dyDescent="0.25">
      <c r="A28" s="17"/>
      <c r="B28" s="17"/>
      <c r="C28" s="17"/>
      <c r="D28" s="17"/>
      <c r="E28" s="18"/>
      <c r="F28" s="18"/>
      <c r="G28" s="18"/>
      <c r="H28" s="18"/>
      <c r="I28" s="18"/>
      <c r="J28" s="18"/>
      <c r="K28" s="18"/>
      <c r="L28" s="18"/>
    </row>
    <row r="29" spans="1:12" ht="15.75" thickBot="1" x14ac:dyDescent="0.3">
      <c r="A29" s="37" t="s">
        <v>27</v>
      </c>
      <c r="B29" s="37">
        <v>0</v>
      </c>
      <c r="C29" s="3"/>
      <c r="D29" s="25" t="s">
        <v>36</v>
      </c>
      <c r="E29" s="25">
        <v>3.5</v>
      </c>
      <c r="F29" s="3"/>
      <c r="G29" s="3"/>
      <c r="H29" s="3"/>
      <c r="I29" s="3"/>
      <c r="J29" s="3"/>
      <c r="K29" s="3"/>
      <c r="L29" s="24"/>
    </row>
    <row r="30" spans="1:12" ht="15.75" thickBot="1" x14ac:dyDescent="0.3">
      <c r="A30" s="19" t="s">
        <v>28</v>
      </c>
      <c r="B30" s="45">
        <v>0.1</v>
      </c>
      <c r="C30" s="3"/>
      <c r="D30" s="25" t="s">
        <v>38</v>
      </c>
      <c r="E30" s="25">
        <v>4</v>
      </c>
      <c r="F30" s="3"/>
      <c r="G30" s="3"/>
      <c r="H30" s="3"/>
      <c r="I30" s="3"/>
      <c r="J30" s="3"/>
      <c r="K30" s="3"/>
      <c r="L30" s="3"/>
    </row>
    <row r="31" spans="1:1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52.5" customHeight="1" thickBot="1" x14ac:dyDescent="0.3">
      <c r="A32" s="25" t="s">
        <v>59</v>
      </c>
      <c r="B32" s="25" t="s">
        <v>34</v>
      </c>
      <c r="C32" s="25" t="s">
        <v>24</v>
      </c>
      <c r="D32" s="25" t="s">
        <v>23</v>
      </c>
      <c r="E32" s="25" t="s">
        <v>48</v>
      </c>
      <c r="F32" s="25" t="s">
        <v>35</v>
      </c>
      <c r="G32" s="25" t="s">
        <v>25</v>
      </c>
      <c r="H32" s="25" t="s">
        <v>26</v>
      </c>
      <c r="I32" s="25" t="s">
        <v>56</v>
      </c>
      <c r="J32" s="38" t="s">
        <v>32</v>
      </c>
      <c r="K32" s="38" t="s">
        <v>33</v>
      </c>
      <c r="L32" s="38"/>
    </row>
    <row r="33" spans="1:12" ht="15.75" thickBot="1" x14ac:dyDescent="0.3">
      <c r="A33" s="39" t="s">
        <v>57</v>
      </c>
      <c r="B33" s="44">
        <v>1000000</v>
      </c>
      <c r="C33" s="10" t="s">
        <v>1</v>
      </c>
      <c r="D33" s="10">
        <f>(B33*B30)</f>
        <v>100000</v>
      </c>
      <c r="E33" s="20">
        <f>K6+K10+K12+K14+K16+K24+K26</f>
        <v>1206400.0000001821</v>
      </c>
      <c r="F33" s="10">
        <f>L12</f>
        <v>75000</v>
      </c>
      <c r="G33" s="10">
        <f>E33-B33</f>
        <v>206400.00000018207</v>
      </c>
      <c r="H33" s="10">
        <f>F33-D33+B29</f>
        <v>-25000</v>
      </c>
      <c r="I33" s="10">
        <f>G33+B29</f>
        <v>206400.00000018207</v>
      </c>
      <c r="J33" s="38"/>
      <c r="K33" s="38"/>
      <c r="L33" s="38"/>
    </row>
    <row r="34" spans="1:12" ht="15.75" thickBot="1" x14ac:dyDescent="0.3">
      <c r="A34" s="39" t="s">
        <v>58</v>
      </c>
      <c r="B34" s="22">
        <v>0</v>
      </c>
      <c r="C34" s="10" t="s">
        <v>1</v>
      </c>
      <c r="D34" s="10">
        <f>+(B34*B30)</f>
        <v>0</v>
      </c>
      <c r="E34" s="20">
        <f>K22+K19</f>
        <v>175400</v>
      </c>
      <c r="F34" s="10">
        <v>0</v>
      </c>
      <c r="G34" s="10">
        <f>E34-B34</f>
        <v>175400</v>
      </c>
      <c r="H34" s="10">
        <f>F34-D34</f>
        <v>0</v>
      </c>
      <c r="I34" s="10">
        <f>G34</f>
        <v>175400</v>
      </c>
      <c r="J34" s="3"/>
      <c r="K34" s="3"/>
      <c r="L34" s="3"/>
    </row>
    <row r="35" spans="1:12" ht="15.75" thickBot="1" x14ac:dyDescent="0.3">
      <c r="A35" s="21"/>
      <c r="B35" s="22"/>
      <c r="C35" s="22"/>
      <c r="D35" s="22"/>
      <c r="E35" s="20">
        <f>E33+E34</f>
        <v>1381800.0000001821</v>
      </c>
      <c r="F35" s="22"/>
      <c r="G35" s="22"/>
      <c r="H35" s="44">
        <f>SUM(H33:H34)</f>
        <v>-25000</v>
      </c>
      <c r="I35" s="44">
        <f>SUM(I33:I34)</f>
        <v>381800.00000018207</v>
      </c>
      <c r="J35" s="3"/>
      <c r="K35" s="3"/>
      <c r="L35" s="3"/>
    </row>
  </sheetData>
  <mergeCells count="9">
    <mergeCell ref="F20:F21"/>
    <mergeCell ref="I20:I21"/>
    <mergeCell ref="F17:F18"/>
    <mergeCell ref="I17:I18"/>
    <mergeCell ref="A1:L1"/>
    <mergeCell ref="F3:F5"/>
    <mergeCell ref="I3:I5"/>
    <mergeCell ref="F7:F9"/>
    <mergeCell ref="I7:I9"/>
  </mergeCell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Normal="100" workbookViewId="0">
      <selection activeCell="D38" sqref="D38"/>
    </sheetView>
  </sheetViews>
  <sheetFormatPr defaultRowHeight="15" x14ac:dyDescent="0.25"/>
  <cols>
    <col min="1" max="1" width="22.42578125" style="1" customWidth="1"/>
    <col min="2" max="2" width="11.7109375" style="1" customWidth="1"/>
    <col min="3" max="3" width="10.140625" style="1" customWidth="1"/>
    <col min="4" max="4" width="10.7109375" style="1" customWidth="1"/>
    <col min="5" max="5" width="25.140625" style="1" customWidth="1"/>
    <col min="6" max="6" width="11.140625" style="1" bestFit="1" customWidth="1"/>
    <col min="7" max="7" width="15" style="1" customWidth="1"/>
    <col min="8" max="8" width="14.140625" style="1" customWidth="1"/>
    <col min="9" max="9" width="12.7109375" style="1" customWidth="1"/>
    <col min="10" max="10" width="11.85546875" style="1" customWidth="1"/>
    <col min="11" max="11" width="22.85546875" style="1" customWidth="1"/>
    <col min="12" max="12" width="14.140625" style="1" customWidth="1"/>
    <col min="13" max="16384" width="9.140625" style="1"/>
  </cols>
  <sheetData>
    <row r="1" spans="1:12" ht="18.75" thickBot="1" x14ac:dyDescent="0.3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34" customFormat="1" ht="44.25" customHeight="1" x14ac:dyDescent="0.25">
      <c r="A2" s="31" t="s">
        <v>13</v>
      </c>
      <c r="B2" s="31" t="s">
        <v>14</v>
      </c>
      <c r="C2" s="32" t="s">
        <v>30</v>
      </c>
      <c r="D2" s="31" t="s">
        <v>15</v>
      </c>
      <c r="E2" s="31" t="s">
        <v>16</v>
      </c>
      <c r="F2" s="32" t="s">
        <v>17</v>
      </c>
      <c r="G2" s="31" t="s">
        <v>46</v>
      </c>
      <c r="H2" s="31" t="s">
        <v>18</v>
      </c>
      <c r="I2" s="32" t="s">
        <v>19</v>
      </c>
      <c r="J2" s="31" t="s">
        <v>20</v>
      </c>
      <c r="K2" s="33" t="s">
        <v>31</v>
      </c>
      <c r="L2" s="33" t="s">
        <v>21</v>
      </c>
    </row>
    <row r="3" spans="1:12" x14ac:dyDescent="0.25">
      <c r="A3" s="4" t="s">
        <v>44</v>
      </c>
      <c r="B3" s="2">
        <v>1000</v>
      </c>
      <c r="C3" s="28">
        <v>0.91</v>
      </c>
      <c r="D3" s="4">
        <f>B3*C3</f>
        <v>910</v>
      </c>
      <c r="E3" s="4" t="s">
        <v>3</v>
      </c>
      <c r="F3" s="42">
        <f>$D$27*F6</f>
        <v>113690.001000091</v>
      </c>
      <c r="G3" s="4">
        <f>D3/$D$6*$F$3</f>
        <v>113690.00098872201</v>
      </c>
      <c r="H3" s="4">
        <f>MIN(G3,D3)</f>
        <v>910</v>
      </c>
      <c r="I3" s="43">
        <f>F3*$I$6</f>
        <v>56845.000500045498</v>
      </c>
      <c r="J3" s="4">
        <f>MIN(H3,$I$3)</f>
        <v>910</v>
      </c>
      <c r="K3" s="4">
        <f>MIN(D3,J3)</f>
        <v>910</v>
      </c>
      <c r="L3" s="4">
        <f>K3</f>
        <v>910</v>
      </c>
    </row>
    <row r="4" spans="1:12" x14ac:dyDescent="0.25">
      <c r="A4" s="4" t="s">
        <v>7</v>
      </c>
      <c r="B4" s="2">
        <v>0</v>
      </c>
      <c r="C4" s="28">
        <v>0.91</v>
      </c>
      <c r="D4" s="4">
        <f t="shared" ref="D4:D5" si="0">B4*C4</f>
        <v>0</v>
      </c>
      <c r="E4" s="4" t="s">
        <v>5</v>
      </c>
      <c r="F4" s="42"/>
      <c r="G4" s="4">
        <f>D4/$D$6*$F$3</f>
        <v>0</v>
      </c>
      <c r="H4" s="4">
        <f>MIN(G4,D4)</f>
        <v>0</v>
      </c>
      <c r="I4" s="43"/>
      <c r="J4" s="4">
        <f>MIN(H4,$I$3)</f>
        <v>0</v>
      </c>
      <c r="K4" s="4">
        <f>MIN(D4,J4)</f>
        <v>0</v>
      </c>
      <c r="L4" s="4">
        <f>K4</f>
        <v>0</v>
      </c>
    </row>
    <row r="5" spans="1:12" x14ac:dyDescent="0.25">
      <c r="A5" s="4" t="s">
        <v>8</v>
      </c>
      <c r="B5" s="2">
        <v>9.9999999999999995E-8</v>
      </c>
      <c r="C5" s="28">
        <v>0.91</v>
      </c>
      <c r="D5" s="4">
        <f t="shared" si="0"/>
        <v>9.0999999999999994E-8</v>
      </c>
      <c r="E5" s="4" t="s">
        <v>6</v>
      </c>
      <c r="F5" s="42"/>
      <c r="G5" s="4">
        <f>D5/$D$6*$F$3</f>
        <v>1.13690000988722E-5</v>
      </c>
      <c r="H5" s="4">
        <f>MIN(G5,D5)</f>
        <v>9.0999999999999994E-8</v>
      </c>
      <c r="I5" s="43"/>
      <c r="J5" s="4">
        <f>MIN(H5,$I$3)</f>
        <v>9.0999999999999994E-8</v>
      </c>
      <c r="K5" s="4">
        <f>MIN(D5,J5)</f>
        <v>9.0999999999999994E-8</v>
      </c>
      <c r="L5" s="4">
        <f>K5</f>
        <v>9.0999999999999994E-8</v>
      </c>
    </row>
    <row r="6" spans="1:12" x14ac:dyDescent="0.25">
      <c r="A6" s="6"/>
      <c r="B6" s="6">
        <f>SUM(B3:B5)</f>
        <v>1000.0000001</v>
      </c>
      <c r="C6" s="5"/>
      <c r="D6" s="6">
        <f>SUM(D3:D5)</f>
        <v>910.00000009099995</v>
      </c>
      <c r="E6" s="6"/>
      <c r="F6" s="26">
        <v>1</v>
      </c>
      <c r="G6" s="6">
        <f>SUM(G3:G5)</f>
        <v>113690.00100009101</v>
      </c>
      <c r="H6" s="6">
        <f>MIN(D6,G6)</f>
        <v>910.00000009099995</v>
      </c>
      <c r="I6" s="26">
        <v>0.5</v>
      </c>
      <c r="J6" s="6">
        <f>SUM(J3:J5)</f>
        <v>910.00000009099995</v>
      </c>
      <c r="K6" s="6">
        <f>SUM(K3:K5)</f>
        <v>910.00000009099995</v>
      </c>
      <c r="L6" s="6">
        <f>SUM(L3:L5)</f>
        <v>910.00000009099995</v>
      </c>
    </row>
    <row r="7" spans="1:12" x14ac:dyDescent="0.25">
      <c r="A7" s="4" t="s">
        <v>10</v>
      </c>
      <c r="B7" s="2">
        <v>10000</v>
      </c>
      <c r="C7" s="28">
        <v>0.76</v>
      </c>
      <c r="D7" s="4">
        <f>B7*C7</f>
        <v>7600</v>
      </c>
      <c r="E7" s="4" t="s">
        <v>29</v>
      </c>
      <c r="F7" s="42">
        <f>$D$27*F10</f>
        <v>45476.000400036399</v>
      </c>
      <c r="G7" s="4">
        <f>D7/$D$10*$F$7</f>
        <v>45476.000400036399</v>
      </c>
      <c r="H7" s="4">
        <f>MIN(G7,D7)</f>
        <v>7600</v>
      </c>
      <c r="I7" s="42">
        <f>F7*I10</f>
        <v>9095.2000800072801</v>
      </c>
      <c r="J7" s="4">
        <f>MIN(H7,$I$7)</f>
        <v>7600</v>
      </c>
      <c r="K7" s="4">
        <f>MIN(D7,J7)</f>
        <v>7600</v>
      </c>
      <c r="L7" s="4">
        <f>K7</f>
        <v>7600</v>
      </c>
    </row>
    <row r="8" spans="1:12" x14ac:dyDescent="0.25">
      <c r="A8" s="4" t="s">
        <v>9</v>
      </c>
      <c r="B8" s="2">
        <v>0</v>
      </c>
      <c r="C8" s="28">
        <v>0.7</v>
      </c>
      <c r="D8" s="4">
        <f>B8*C8</f>
        <v>0</v>
      </c>
      <c r="E8" s="4" t="s">
        <v>47</v>
      </c>
      <c r="F8" s="42"/>
      <c r="G8" s="4">
        <f>D8/$D$10*$F$7</f>
        <v>0</v>
      </c>
      <c r="H8" s="4">
        <f>MIN(G8,D8)</f>
        <v>0</v>
      </c>
      <c r="I8" s="42"/>
      <c r="J8" s="4">
        <f>MIN(H8,$I$7)</f>
        <v>0</v>
      </c>
      <c r="K8" s="4">
        <f>MIN(D8,J8)</f>
        <v>0</v>
      </c>
      <c r="L8" s="4">
        <f>K8</f>
        <v>0</v>
      </c>
    </row>
    <row r="9" spans="1:12" x14ac:dyDescent="0.25">
      <c r="A9" s="35" t="s">
        <v>41</v>
      </c>
      <c r="B9" s="2">
        <v>9.9999999999999995E-8</v>
      </c>
      <c r="C9" s="28">
        <v>0</v>
      </c>
      <c r="D9" s="4">
        <f>B9*C9</f>
        <v>0</v>
      </c>
      <c r="E9" s="4" t="s">
        <v>42</v>
      </c>
      <c r="F9" s="42"/>
      <c r="G9" s="4">
        <f>D9/$D$10*$F$7</f>
        <v>0</v>
      </c>
      <c r="H9" s="4">
        <f>MIN(G9,D9)</f>
        <v>0</v>
      </c>
      <c r="I9" s="42"/>
      <c r="J9" s="4">
        <f>MIN(H9,$I$7)</f>
        <v>0</v>
      </c>
      <c r="K9" s="4">
        <f>MIN(D9,J9)</f>
        <v>0</v>
      </c>
      <c r="L9" s="4">
        <f>K9</f>
        <v>0</v>
      </c>
    </row>
    <row r="10" spans="1:12" x14ac:dyDescent="0.25">
      <c r="A10" s="6"/>
      <c r="B10" s="6">
        <f>SUM(B7:B9)</f>
        <v>10000.000000100001</v>
      </c>
      <c r="C10" s="7"/>
      <c r="D10" s="6">
        <f>SUM(D7:D9)</f>
        <v>7600</v>
      </c>
      <c r="E10" s="6"/>
      <c r="F10" s="26">
        <v>0.4</v>
      </c>
      <c r="G10" s="6">
        <f>SUM(G7:G9)</f>
        <v>45476.000400036399</v>
      </c>
      <c r="H10" s="6">
        <f>MIN(D10,G10)</f>
        <v>7600</v>
      </c>
      <c r="I10" s="27">
        <v>0.2</v>
      </c>
      <c r="J10" s="6">
        <f>SUM(J7:J9)</f>
        <v>7600</v>
      </c>
      <c r="K10" s="6">
        <f>SUM(K7:K9)</f>
        <v>7600</v>
      </c>
      <c r="L10" s="6">
        <f>SUM(L7:L9)</f>
        <v>7600</v>
      </c>
    </row>
    <row r="11" spans="1:12" x14ac:dyDescent="0.25">
      <c r="A11" s="4" t="s">
        <v>4</v>
      </c>
      <c r="B11" s="2">
        <v>1E-3</v>
      </c>
      <c r="C11" s="8">
        <v>1</v>
      </c>
      <c r="D11" s="4">
        <f>B11*C11</f>
        <v>1E-3</v>
      </c>
      <c r="E11" s="4" t="s">
        <v>4</v>
      </c>
      <c r="F11" s="23">
        <f>$D$27*F12</f>
        <v>113690.001000091</v>
      </c>
      <c r="G11" s="4">
        <f>D11/$D$12*$F$11</f>
        <v>113690.001000091</v>
      </c>
      <c r="H11" s="4">
        <f>MIN(G11,D11)</f>
        <v>1E-3</v>
      </c>
      <c r="I11" s="23">
        <f>F11*I12</f>
        <v>113690.001000091</v>
      </c>
      <c r="J11" s="4">
        <f>MIN(H11,$I$11)</f>
        <v>1E-3</v>
      </c>
      <c r="K11" s="4">
        <f>MIN(D11,J11)</f>
        <v>1E-3</v>
      </c>
      <c r="L11" s="4">
        <f>K11</f>
        <v>1E-3</v>
      </c>
    </row>
    <row r="12" spans="1:12" x14ac:dyDescent="0.25">
      <c r="A12" s="10"/>
      <c r="B12" s="11">
        <f>SUM(B11)</f>
        <v>1E-3</v>
      </c>
      <c r="C12" s="5"/>
      <c r="D12" s="6">
        <f>SUM(D11)</f>
        <v>1E-3</v>
      </c>
      <c r="E12" s="10"/>
      <c r="F12" s="26">
        <v>1</v>
      </c>
      <c r="G12" s="6">
        <f>SUM(G11)</f>
        <v>113690.001000091</v>
      </c>
      <c r="H12" s="6">
        <f>MIN(D12,G12)</f>
        <v>1E-3</v>
      </c>
      <c r="I12" s="26">
        <v>1</v>
      </c>
      <c r="J12" s="10">
        <f>SUM(J11)</f>
        <v>1E-3</v>
      </c>
      <c r="K12" s="11">
        <f>SUM(K11)</f>
        <v>1E-3</v>
      </c>
      <c r="L12" s="6">
        <f>SUM(L11)</f>
        <v>1E-3</v>
      </c>
    </row>
    <row r="13" spans="1:12" x14ac:dyDescent="0.25">
      <c r="A13" s="4" t="s">
        <v>12</v>
      </c>
      <c r="B13" s="2">
        <v>1000</v>
      </c>
      <c r="C13" s="28">
        <v>0.82</v>
      </c>
      <c r="D13" s="12">
        <f>B13*C13</f>
        <v>820</v>
      </c>
      <c r="E13" s="4" t="s">
        <v>39</v>
      </c>
      <c r="F13" s="23">
        <f>$D$27*F14</f>
        <v>45476.000400036399</v>
      </c>
      <c r="G13" s="4">
        <f>D13/$D$14*$F$13</f>
        <v>45476.000400036399</v>
      </c>
      <c r="H13" s="4">
        <f>MIN(G13,D13)</f>
        <v>820</v>
      </c>
      <c r="I13" s="23">
        <f>F13*I14</f>
        <v>9095.2000800072801</v>
      </c>
      <c r="J13" s="4">
        <f>MIN(H13,$I$13)</f>
        <v>820</v>
      </c>
      <c r="K13" s="4">
        <f>MIN(D13,J13)</f>
        <v>820</v>
      </c>
      <c r="L13" s="4">
        <f>K13</f>
        <v>820</v>
      </c>
    </row>
    <row r="14" spans="1:12" x14ac:dyDescent="0.25">
      <c r="A14" s="10"/>
      <c r="B14" s="11">
        <f>SUM(B13)</f>
        <v>1000</v>
      </c>
      <c r="C14" s="5"/>
      <c r="D14" s="6">
        <f>SUM(D13)</f>
        <v>820</v>
      </c>
      <c r="E14" s="10"/>
      <c r="F14" s="26">
        <v>0.4</v>
      </c>
      <c r="G14" s="6">
        <f>SUM(G13)</f>
        <v>45476.000400036399</v>
      </c>
      <c r="H14" s="6">
        <f>MIN(D14,G14)</f>
        <v>820</v>
      </c>
      <c r="I14" s="26">
        <v>0.2</v>
      </c>
      <c r="J14" s="10">
        <f>SUM(J13)</f>
        <v>820</v>
      </c>
      <c r="K14" s="11">
        <f>SUM(K13)</f>
        <v>820</v>
      </c>
      <c r="L14" s="6">
        <f>SUM(L13)</f>
        <v>820</v>
      </c>
    </row>
    <row r="15" spans="1:12" x14ac:dyDescent="0.25">
      <c r="A15" s="4" t="s">
        <v>11</v>
      </c>
      <c r="B15" s="2">
        <v>1000</v>
      </c>
      <c r="C15" s="28">
        <v>0.88</v>
      </c>
      <c r="D15" s="9">
        <f>B15*C15</f>
        <v>880</v>
      </c>
      <c r="E15" s="4" t="s">
        <v>40</v>
      </c>
      <c r="F15" s="23">
        <f>$D$27*F16</f>
        <v>22738.000200018199</v>
      </c>
      <c r="G15" s="4">
        <f>D15/$D$16*$F$15</f>
        <v>22738.000200018199</v>
      </c>
      <c r="H15" s="4">
        <f>MIN(G15,D15)</f>
        <v>880</v>
      </c>
      <c r="I15" s="23">
        <f>F15*I16</f>
        <v>4547.6000400036401</v>
      </c>
      <c r="J15" s="4">
        <f>MIN(H15,I15)</f>
        <v>880</v>
      </c>
      <c r="K15" s="4">
        <f>MIN(D15,J15)</f>
        <v>880</v>
      </c>
      <c r="L15" s="4">
        <f>K15</f>
        <v>880</v>
      </c>
    </row>
    <row r="16" spans="1:12" x14ac:dyDescent="0.25">
      <c r="A16" s="10"/>
      <c r="B16" s="11">
        <f>SUM(B15)</f>
        <v>1000</v>
      </c>
      <c r="C16" s="5"/>
      <c r="D16" s="6">
        <f>SUM(D15)</f>
        <v>880</v>
      </c>
      <c r="E16" s="10"/>
      <c r="F16" s="26">
        <v>0.2</v>
      </c>
      <c r="G16" s="6">
        <f>SUM(G15)</f>
        <v>22738.000200018199</v>
      </c>
      <c r="H16" s="6">
        <f>MIN(D16,G16)</f>
        <v>880</v>
      </c>
      <c r="I16" s="26">
        <v>0.2</v>
      </c>
      <c r="J16" s="10">
        <f>SUM(J15)</f>
        <v>880</v>
      </c>
      <c r="K16" s="11">
        <f>SUM(K15)</f>
        <v>880</v>
      </c>
      <c r="L16" s="6">
        <f>SUM(L15)</f>
        <v>880</v>
      </c>
    </row>
    <row r="17" spans="1:12" x14ac:dyDescent="0.25">
      <c r="A17" s="4" t="s">
        <v>49</v>
      </c>
      <c r="B17" s="2">
        <v>1000</v>
      </c>
      <c r="C17" s="28">
        <v>0.83</v>
      </c>
      <c r="D17" s="4">
        <f>B17*C17</f>
        <v>830</v>
      </c>
      <c r="E17" s="4" t="s">
        <v>54</v>
      </c>
      <c r="F17" s="42">
        <f>$D$27*F19</f>
        <v>102321.0009000819</v>
      </c>
      <c r="G17" s="4">
        <f>D17/$D$19*$F$17</f>
        <v>51160.500450040949</v>
      </c>
      <c r="H17" s="4">
        <f>MIN(G17,D17)</f>
        <v>830</v>
      </c>
      <c r="I17" s="42">
        <f>F17*I19</f>
        <v>20464.200180016382</v>
      </c>
      <c r="J17" s="4">
        <f>MIN(H17,$I$17)</f>
        <v>830</v>
      </c>
      <c r="K17" s="4">
        <f>MIN(D17,J17)</f>
        <v>830</v>
      </c>
      <c r="L17" s="29">
        <f>K17/$E$30</f>
        <v>207.5</v>
      </c>
    </row>
    <row r="18" spans="1:12" x14ac:dyDescent="0.25">
      <c r="A18" s="4" t="s">
        <v>50</v>
      </c>
      <c r="B18" s="2">
        <v>1000</v>
      </c>
      <c r="C18" s="28">
        <v>0.83</v>
      </c>
      <c r="D18" s="4">
        <f>B18*C18</f>
        <v>830</v>
      </c>
      <c r="E18" s="4" t="s">
        <v>55</v>
      </c>
      <c r="F18" s="42"/>
      <c r="G18" s="4">
        <f>D18/$D$19*$F$17</f>
        <v>51160.500450040949</v>
      </c>
      <c r="H18" s="4">
        <f>MIN(G18,D18)</f>
        <v>830</v>
      </c>
      <c r="I18" s="42"/>
      <c r="J18" s="4">
        <f>MIN(H18,$I$17)</f>
        <v>830</v>
      </c>
      <c r="K18" s="4">
        <f>MIN(D18,J18)</f>
        <v>830</v>
      </c>
      <c r="L18" s="29">
        <f>K18/$E$29</f>
        <v>237.14285714285714</v>
      </c>
    </row>
    <row r="19" spans="1:12" x14ac:dyDescent="0.25">
      <c r="A19" s="10"/>
      <c r="B19" s="11">
        <f>SUM(B17:B18)</f>
        <v>2000</v>
      </c>
      <c r="C19" s="5"/>
      <c r="D19" s="6">
        <f>SUM(D17:D18)</f>
        <v>1660</v>
      </c>
      <c r="E19" s="10"/>
      <c r="F19" s="26">
        <v>0.9</v>
      </c>
      <c r="G19" s="6">
        <f>SUM(G17:G18)</f>
        <v>102321.0009000819</v>
      </c>
      <c r="H19" s="6">
        <f>MIN(D19,G19)</f>
        <v>1660</v>
      </c>
      <c r="I19" s="26">
        <v>0.2</v>
      </c>
      <c r="J19" s="10">
        <f>SUM(J17:J18)</f>
        <v>1660</v>
      </c>
      <c r="K19" s="6">
        <f>SUM(K17:K18)</f>
        <v>1660</v>
      </c>
      <c r="L19" s="6"/>
    </row>
    <row r="20" spans="1:12" x14ac:dyDescent="0.25">
      <c r="A20" s="4" t="s">
        <v>51</v>
      </c>
      <c r="B20" s="2">
        <v>0</v>
      </c>
      <c r="C20" s="28">
        <v>0.94</v>
      </c>
      <c r="D20" s="4">
        <f>B20*C20</f>
        <v>0</v>
      </c>
      <c r="E20" s="4" t="s">
        <v>0</v>
      </c>
      <c r="F20" s="42">
        <f>$D$27*F22</f>
        <v>113690.001000091</v>
      </c>
      <c r="G20" s="4">
        <f>D20/$D$22*$F$20</f>
        <v>0</v>
      </c>
      <c r="H20" s="4">
        <f>MIN(G20,D20)</f>
        <v>0</v>
      </c>
      <c r="I20" s="42">
        <f>F20*I22</f>
        <v>113690.001000091</v>
      </c>
      <c r="J20" s="4">
        <f>MIN(H20,$I$20)</f>
        <v>0</v>
      </c>
      <c r="K20" s="4">
        <f>MIN(D20,J20)</f>
        <v>0</v>
      </c>
      <c r="L20" s="29">
        <f>K20/$E$30</f>
        <v>0</v>
      </c>
    </row>
    <row r="21" spans="1:12" x14ac:dyDescent="0.25">
      <c r="A21" s="4" t="s">
        <v>52</v>
      </c>
      <c r="B21" s="2">
        <v>1000</v>
      </c>
      <c r="C21" s="28">
        <v>0.94</v>
      </c>
      <c r="D21" s="4">
        <f>B21*C21</f>
        <v>940</v>
      </c>
      <c r="E21" s="4" t="s">
        <v>2</v>
      </c>
      <c r="F21" s="42"/>
      <c r="G21" s="4">
        <f>D21/$D$22*$F$20</f>
        <v>113690.001000091</v>
      </c>
      <c r="H21" s="4">
        <f>MIN(G21,D21)</f>
        <v>940</v>
      </c>
      <c r="I21" s="42"/>
      <c r="J21" s="4">
        <f>MIN(H21,$I$20)</f>
        <v>940</v>
      </c>
      <c r="K21" s="4">
        <f>MIN(D21,J21)</f>
        <v>940</v>
      </c>
      <c r="L21" s="29">
        <f>K21/$E$29</f>
        <v>268.57142857142856</v>
      </c>
    </row>
    <row r="22" spans="1:12" x14ac:dyDescent="0.25">
      <c r="A22" s="10"/>
      <c r="B22" s="11">
        <f>SUM(B20:B21)</f>
        <v>1000</v>
      </c>
      <c r="C22" s="5"/>
      <c r="D22" s="6">
        <f>SUM(D20:D21)</f>
        <v>940</v>
      </c>
      <c r="E22" s="10"/>
      <c r="F22" s="26">
        <v>1</v>
      </c>
      <c r="G22" s="6">
        <f>SUM(G20:G21)</f>
        <v>113690.001000091</v>
      </c>
      <c r="H22" s="6">
        <f>MIN(D22,G22)</f>
        <v>940</v>
      </c>
      <c r="I22" s="26">
        <v>1</v>
      </c>
      <c r="J22" s="10">
        <f>SUM(J20:J21)</f>
        <v>940</v>
      </c>
      <c r="K22" s="6">
        <f>SUM(K20:K21)</f>
        <v>940</v>
      </c>
      <c r="L22" s="6"/>
    </row>
    <row r="23" spans="1:12" x14ac:dyDescent="0.25">
      <c r="A23" s="4" t="s">
        <v>53</v>
      </c>
      <c r="B23" s="2">
        <v>1000</v>
      </c>
      <c r="C23" s="28">
        <v>0.88</v>
      </c>
      <c r="D23" s="4">
        <f>B23*C23</f>
        <v>880</v>
      </c>
      <c r="E23" s="4" t="s">
        <v>37</v>
      </c>
      <c r="F23" s="36">
        <f>$D$27*F24</f>
        <v>56845.000500045498</v>
      </c>
      <c r="G23" s="4">
        <f>D24/$D$23*$F$23</f>
        <v>56845.000500045498</v>
      </c>
      <c r="H23" s="4">
        <f>MIN(G23,D23)</f>
        <v>880</v>
      </c>
      <c r="I23" s="23">
        <f>F23*I24</f>
        <v>11369.0001000091</v>
      </c>
      <c r="J23" s="4">
        <f>MIN(H23,$I$23)</f>
        <v>880</v>
      </c>
      <c r="K23" s="4">
        <f>MIN(D23,J23)</f>
        <v>880</v>
      </c>
      <c r="L23" s="29">
        <f>K23/$E$29</f>
        <v>251.42857142857142</v>
      </c>
    </row>
    <row r="24" spans="1:12" x14ac:dyDescent="0.25">
      <c r="A24" s="10"/>
      <c r="B24" s="11">
        <f>SUM(B23)</f>
        <v>1000</v>
      </c>
      <c r="C24" s="5"/>
      <c r="D24" s="6">
        <f>SUM(D23)</f>
        <v>880</v>
      </c>
      <c r="E24" s="10"/>
      <c r="F24" s="26">
        <v>0.5</v>
      </c>
      <c r="G24" s="6">
        <f>D27*F24</f>
        <v>56845.000500045498</v>
      </c>
      <c r="H24" s="6">
        <f>MIN(D24,G24)</f>
        <v>880</v>
      </c>
      <c r="I24" s="26">
        <v>0.2</v>
      </c>
      <c r="J24" s="10">
        <f>SUM(J23)</f>
        <v>880</v>
      </c>
      <c r="K24" s="6">
        <f>SUM(K23)</f>
        <v>880</v>
      </c>
      <c r="L24" s="6">
        <f>SUM(L22:L23)</f>
        <v>251.42857142857142</v>
      </c>
    </row>
    <row r="25" spans="1:12" x14ac:dyDescent="0.25">
      <c r="A25" s="4" t="s">
        <v>43</v>
      </c>
      <c r="B25" s="2">
        <v>100000</v>
      </c>
      <c r="C25" s="28">
        <v>1</v>
      </c>
      <c r="D25" s="4">
        <f>B25*C25</f>
        <v>100000</v>
      </c>
      <c r="E25" s="4" t="s">
        <v>45</v>
      </c>
      <c r="F25" s="36">
        <f>$D$27*F26</f>
        <v>85267.500750068255</v>
      </c>
      <c r="G25" s="4">
        <f>D26/$D$25*$F$25</f>
        <v>85267.500750068255</v>
      </c>
      <c r="H25" s="4">
        <f>MIN(G25,D25)</f>
        <v>85267.500750068255</v>
      </c>
      <c r="I25" s="23">
        <f>F25*I26</f>
        <v>85267.500750068255</v>
      </c>
      <c r="J25" s="4">
        <f>MIN(H25,$I$25)</f>
        <v>85267.500750068255</v>
      </c>
      <c r="K25" s="4">
        <f>MIN(D25,J25)</f>
        <v>85267.500750068255</v>
      </c>
      <c r="L25" s="29">
        <f>K25/$E$29</f>
        <v>24362.143071448074</v>
      </c>
    </row>
    <row r="26" spans="1:12" ht="15.75" thickBot="1" x14ac:dyDescent="0.3">
      <c r="A26" s="10"/>
      <c r="B26" s="11">
        <f>SUM(B25)</f>
        <v>100000</v>
      </c>
      <c r="C26" s="13"/>
      <c r="D26" s="6">
        <f>SUM(D25)</f>
        <v>100000</v>
      </c>
      <c r="E26" s="10"/>
      <c r="F26" s="26">
        <v>0.75</v>
      </c>
      <c r="G26" s="6">
        <f>D27*F26</f>
        <v>85267.500750068255</v>
      </c>
      <c r="H26" s="6">
        <f>MIN(D26,G26)</f>
        <v>85267.500750068255</v>
      </c>
      <c r="I26" s="26">
        <v>1</v>
      </c>
      <c r="J26" s="10">
        <f>SUM(J25)</f>
        <v>85267.500750068255</v>
      </c>
      <c r="K26" s="6">
        <f>SUM(K25)</f>
        <v>85267.500750068255</v>
      </c>
      <c r="L26" s="6">
        <f>SUM(L24:L25)</f>
        <v>24613.571642876646</v>
      </c>
    </row>
    <row r="27" spans="1:12" ht="21.75" thickBot="1" x14ac:dyDescent="0.4">
      <c r="A27" s="14"/>
      <c r="B27" s="15">
        <f>B10+B22+B12+B14+B16+B6+B24+B26+B19</f>
        <v>117000.00100020001</v>
      </c>
      <c r="C27" s="16"/>
      <c r="D27" s="15">
        <f>D10+D22+D12+D14+D16+D6+D24+D26+D19</f>
        <v>113690.001000091</v>
      </c>
      <c r="E27" s="16"/>
      <c r="F27" s="16"/>
      <c r="G27" s="9"/>
      <c r="H27" s="30">
        <f>SUM(H6+H10+H12+H14+H16+H22+H24+H26+H19)</f>
        <v>98957.501750159252</v>
      </c>
      <c r="I27" s="16"/>
      <c r="J27" s="16"/>
      <c r="K27" s="40">
        <f>K10+K22+K12+K14+K16+K6+K24+K26+K19</f>
        <v>98957.501750159252</v>
      </c>
      <c r="L27" s="16"/>
    </row>
    <row r="28" spans="1:12" x14ac:dyDescent="0.25">
      <c r="A28" s="17"/>
      <c r="B28" s="17"/>
      <c r="C28" s="17"/>
      <c r="D28" s="17"/>
      <c r="E28" s="18"/>
      <c r="F28" s="18"/>
      <c r="G28" s="18"/>
      <c r="H28" s="18"/>
      <c r="I28" s="18"/>
      <c r="J28" s="18"/>
      <c r="K28" s="18"/>
      <c r="L28" s="18"/>
    </row>
    <row r="29" spans="1:12" ht="15.75" thickBot="1" x14ac:dyDescent="0.3">
      <c r="A29" s="37" t="s">
        <v>27</v>
      </c>
      <c r="B29" s="37">
        <v>0</v>
      </c>
      <c r="C29" s="3"/>
      <c r="D29" s="25" t="s">
        <v>36</v>
      </c>
      <c r="E29" s="25">
        <v>3.5</v>
      </c>
      <c r="F29" s="3"/>
      <c r="G29" s="3"/>
      <c r="H29" s="3"/>
      <c r="I29" s="3"/>
      <c r="J29" s="3"/>
      <c r="K29" s="3"/>
      <c r="L29" s="24"/>
    </row>
    <row r="30" spans="1:12" ht="15.75" thickBot="1" x14ac:dyDescent="0.3">
      <c r="A30" s="19" t="s">
        <v>28</v>
      </c>
      <c r="B30" s="44">
        <v>0</v>
      </c>
      <c r="C30" s="3"/>
      <c r="D30" s="25" t="s">
        <v>38</v>
      </c>
      <c r="E30" s="25">
        <v>4</v>
      </c>
      <c r="F30" s="3"/>
      <c r="G30" s="3"/>
      <c r="H30" s="3"/>
      <c r="I30" s="3"/>
      <c r="J30" s="3"/>
      <c r="K30" s="3"/>
      <c r="L30" s="3"/>
    </row>
    <row r="31" spans="1:1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52.5" customHeight="1" thickBot="1" x14ac:dyDescent="0.3">
      <c r="A32" s="25" t="s">
        <v>59</v>
      </c>
      <c r="B32" s="25" t="s">
        <v>34</v>
      </c>
      <c r="C32" s="25" t="s">
        <v>24</v>
      </c>
      <c r="D32" s="25" t="s">
        <v>23</v>
      </c>
      <c r="E32" s="25" t="s">
        <v>48</v>
      </c>
      <c r="F32" s="25" t="s">
        <v>35</v>
      </c>
      <c r="G32" s="25" t="s">
        <v>25</v>
      </c>
      <c r="H32" s="25" t="s">
        <v>26</v>
      </c>
      <c r="I32" s="25" t="s">
        <v>56</v>
      </c>
      <c r="J32" s="38" t="s">
        <v>32</v>
      </c>
      <c r="K32" s="38" t="s">
        <v>33</v>
      </c>
      <c r="L32" s="38"/>
    </row>
    <row r="33" spans="1:12" ht="15.75" thickBot="1" x14ac:dyDescent="0.3">
      <c r="A33" s="39" t="s">
        <v>57</v>
      </c>
      <c r="B33" s="44">
        <v>100000</v>
      </c>
      <c r="C33" s="10" t="s">
        <v>1</v>
      </c>
      <c r="D33" s="10">
        <f>(B33*B30)</f>
        <v>0</v>
      </c>
      <c r="E33" s="20">
        <f>K6+K10+K12+K14+K16+K24+K26</f>
        <v>96357.501750159252</v>
      </c>
      <c r="F33" s="10">
        <f>L12</f>
        <v>1E-3</v>
      </c>
      <c r="G33" s="10">
        <f>E33-B33</f>
        <v>-3642.498249840748</v>
      </c>
      <c r="H33" s="10">
        <f>F33-D33+B29</f>
        <v>1E-3</v>
      </c>
      <c r="I33" s="10">
        <f>G33+B29</f>
        <v>-3642.498249840748</v>
      </c>
      <c r="J33" s="38"/>
      <c r="K33" s="38"/>
      <c r="L33" s="38"/>
    </row>
    <row r="34" spans="1:12" ht="15.75" thickBot="1" x14ac:dyDescent="0.3">
      <c r="A34" s="39" t="s">
        <v>58</v>
      </c>
      <c r="B34" s="22">
        <v>0</v>
      </c>
      <c r="C34" s="10" t="s">
        <v>1</v>
      </c>
      <c r="D34" s="10">
        <f>+(B34*B30)</f>
        <v>0</v>
      </c>
      <c r="E34" s="20">
        <f>K22+K19</f>
        <v>2600</v>
      </c>
      <c r="F34" s="10">
        <v>0</v>
      </c>
      <c r="G34" s="10">
        <f>E34-B34</f>
        <v>2600</v>
      </c>
      <c r="H34" s="10">
        <f>F34-D34</f>
        <v>0</v>
      </c>
      <c r="I34" s="10">
        <f>G34</f>
        <v>2600</v>
      </c>
      <c r="J34" s="3"/>
      <c r="K34" s="3"/>
      <c r="L34" s="3"/>
    </row>
    <row r="35" spans="1:12" ht="15.75" thickBot="1" x14ac:dyDescent="0.3">
      <c r="A35" s="21"/>
      <c r="B35" s="22"/>
      <c r="C35" s="22"/>
      <c r="D35" s="22"/>
      <c r="E35" s="20">
        <f>E33+E34</f>
        <v>98957.501750159252</v>
      </c>
      <c r="F35" s="22"/>
      <c r="G35" s="22"/>
      <c r="H35" s="20">
        <f>SUM(H33:H34)</f>
        <v>1E-3</v>
      </c>
      <c r="I35" s="44">
        <f>SUM(I33:I34)</f>
        <v>-1042.498249840748</v>
      </c>
      <c r="J35" s="3"/>
      <c r="K35" s="3"/>
      <c r="L35" s="3"/>
    </row>
  </sheetData>
  <mergeCells count="9">
    <mergeCell ref="F20:F21"/>
    <mergeCell ref="I20:I21"/>
    <mergeCell ref="A1:L1"/>
    <mergeCell ref="F3:F5"/>
    <mergeCell ref="I3:I5"/>
    <mergeCell ref="F7:F9"/>
    <mergeCell ref="I7:I9"/>
    <mergeCell ref="F17:F18"/>
    <mergeCell ref="I17:I18"/>
  </mergeCells>
  <pageMargins left="0.7" right="0.7" top="0.75" bottom="0.75" header="0.3" footer="0.3"/>
  <pageSetup paperSize="9"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0E1937EFE1781459C8A8D23F7F1B8B8" ma:contentTypeVersion="2" ma:contentTypeDescription="Yeni belge oluşturun." ma:contentTypeScope="" ma:versionID="de690b59401c5e33cd1e14958e0f486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7c8e49d2455113debadb04310c69c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internalName="PublishingStartDate">
      <xsd:simpleType>
        <xsd:restriction base="dms:Unknown"/>
      </xsd:simpleType>
    </xsd:element>
    <xsd:element name="PublishingExpirationDate" ma:index="9" nillable="true" ma:displayName="Zamanlama Bitiş Tarihi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F04471-1818-42EC-8079-3DB9C9D688B2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7401903-BA80-441B-99A9-9990D44A97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B4E613-E161-4D6D-BD26-FFEBA5A632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PAY - İşlemTeminatı Değerleme </vt:lpstr>
      <vt:lpstr>PAY - Garanti Fonu Teminat D.</vt:lpstr>
      <vt:lpstr>'PAY - Garanti Fonu Teminat D.'!Print_Area</vt:lpstr>
      <vt:lpstr>'PAY - İşlemTeminatı Değerleme '!Print_Area</vt:lpstr>
    </vt:vector>
  </TitlesOfParts>
  <Company>The Nasdaq OMX Group,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Teminat Değerleme</dc:title>
  <dc:creator>Annika Nordvall</dc:creator>
  <cp:lastModifiedBy>Hayrettin Konuk</cp:lastModifiedBy>
  <cp:lastPrinted>2016-08-23T07:25:27Z</cp:lastPrinted>
  <dcterms:created xsi:type="dcterms:W3CDTF">2016-02-22T15:42:41Z</dcterms:created>
  <dcterms:modified xsi:type="dcterms:W3CDTF">2017-06-20T07:48:42Z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0x01010000E1937EFE1781459C8A8D23F7F1B8B8</vt:lpwstr>
  </property>
</Properties>
</file>